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0985" windowHeight="9345" activeTab="0"/>
  </bookViews>
  <sheets>
    <sheet name="RegistrationDetailedReport20150" sheetId="1" r:id="rId1"/>
  </sheets>
  <definedNames/>
  <calcPr fullCalcOnLoad="1"/>
</workbook>
</file>

<file path=xl/sharedStrings.xml><?xml version="1.0" encoding="utf-8"?>
<sst xmlns="http://schemas.openxmlformats.org/spreadsheetml/2006/main" count="859" uniqueCount="411">
  <si>
    <t xml:space="preserve">FirstName  </t>
  </si>
  <si>
    <t xml:space="preserve">LastName  </t>
  </si>
  <si>
    <t xml:space="preserve">Email  </t>
  </si>
  <si>
    <t xml:space="preserve">Registration Date/Time  </t>
  </si>
  <si>
    <t xml:space="preserve">Title  </t>
  </si>
  <si>
    <t xml:space="preserve">Number of Employees  </t>
  </si>
  <si>
    <t xml:space="preserve">Company  </t>
  </si>
  <si>
    <t xml:space="preserve">Phone  </t>
  </si>
  <si>
    <t xml:space="preserve">State/Province  </t>
  </si>
  <si>
    <t xml:space="preserve">Postal/Zip Code  </t>
  </si>
  <si>
    <t xml:space="preserve">Country/Region  </t>
  </si>
  <si>
    <t xml:space="preserve">Does your company have an initiative for API Management?  </t>
  </si>
  <si>
    <t xml:space="preserve">Please describe your biggest API Management challenge  </t>
  </si>
  <si>
    <t>60.0 mins</t>
  </si>
  <si>
    <t>Monique</t>
  </si>
  <si>
    <t>Griffin</t>
  </si>
  <si>
    <t>mggo@chevron.com</t>
  </si>
  <si>
    <t>No</t>
  </si>
  <si>
    <t>Yes</t>
  </si>
  <si>
    <t>November 19, 2014 1:20 pm New York Time</t>
  </si>
  <si>
    <t>1500+</t>
  </si>
  <si>
    <t>zhe</t>
  </si>
  <si>
    <t>ma</t>
  </si>
  <si>
    <t>zma@unum.com</t>
  </si>
  <si>
    <t>November 18, 2014 9:08 am New York Time</t>
  </si>
  <si>
    <t>Raymond</t>
  </si>
  <si>
    <t>Zych</t>
  </si>
  <si>
    <t>raymond.zych@jpmorgan.com</t>
  </si>
  <si>
    <t>November 13, 2014 3:31 pm New York Time</t>
  </si>
  <si>
    <t>Travis</t>
  </si>
  <si>
    <t>Hayes</t>
  </si>
  <si>
    <t>travishayes@chevron.com</t>
  </si>
  <si>
    <t>November 24, 2014 5:16 pm New York Time</t>
  </si>
  <si>
    <t>Dan</t>
  </si>
  <si>
    <t>Ng</t>
  </si>
  <si>
    <t>danng@chevron.com</t>
  </si>
  <si>
    <t>November 18, 2014 11:53 am New York Time</t>
  </si>
  <si>
    <t>Brian</t>
  </si>
  <si>
    <t>Brands</t>
  </si>
  <si>
    <t>brian.brands@searshc.com</t>
  </si>
  <si>
    <t>November 27, 2014 10:56 am New York Time</t>
  </si>
  <si>
    <t>Matthew</t>
  </si>
  <si>
    <t>Cozzi</t>
  </si>
  <si>
    <t>matthew.cozzi@comcast.net</t>
  </si>
  <si>
    <t>November 18, 2014 9:31 am New York Time</t>
  </si>
  <si>
    <t>Muralidharan</t>
  </si>
  <si>
    <t>Chakkarai</t>
  </si>
  <si>
    <t>muralidharan.chakkarai@medtronic.com</t>
  </si>
  <si>
    <t>November 14, 2014 2:05 pm New York Time</t>
  </si>
  <si>
    <t>India</t>
  </si>
  <si>
    <t>Mike</t>
  </si>
  <si>
    <t>Smith</t>
  </si>
  <si>
    <t>mismith@starbucks.com</t>
  </si>
  <si>
    <t>November 18, 2014 10:35 am New York Time</t>
  </si>
  <si>
    <t>Bobby</t>
  </si>
  <si>
    <t>Bal</t>
  </si>
  <si>
    <t>bobby_bal@colpal.com</t>
  </si>
  <si>
    <t>November 20, 2014 3:19 am New York Time</t>
  </si>
  <si>
    <t>500-1500</t>
  </si>
  <si>
    <t>Robert</t>
  </si>
  <si>
    <t>Schermerhorn</t>
  </si>
  <si>
    <t>robert.schermerhorn@bankofamerica.com</t>
  </si>
  <si>
    <t>November 18, 2014 9:29 am New York Time</t>
  </si>
  <si>
    <t>100-499</t>
  </si>
  <si>
    <t>Michael</t>
  </si>
  <si>
    <t>Lyon</t>
  </si>
  <si>
    <t>michael.lyon@genworth.com</t>
  </si>
  <si>
    <t>November 13, 2014 12:50 pm New York Time</t>
  </si>
  <si>
    <t>Ricardo</t>
  </si>
  <si>
    <t>Guedes</t>
  </si>
  <si>
    <t>ricardo_guedes@colpal.com</t>
  </si>
  <si>
    <t>November 18, 2014 12:02 pm New York Time</t>
  </si>
  <si>
    <t>Brazil</t>
  </si>
  <si>
    <t>Anil</t>
  </si>
  <si>
    <t>Piduri</t>
  </si>
  <si>
    <t>anil.piduri@michaelkors.com</t>
  </si>
  <si>
    <t>November 18, 2014 10:25 am New York Time</t>
  </si>
  <si>
    <t>Humberto</t>
  </si>
  <si>
    <t>Sanchez II</t>
  </si>
  <si>
    <t>hsanchezii@yahoo.com</t>
  </si>
  <si>
    <t>November 19, 2014 6:17 pm New York Time</t>
  </si>
  <si>
    <t>Jingyun</t>
  </si>
  <si>
    <t>Chen`</t>
  </si>
  <si>
    <t>jingyunchen@gmail.com</t>
  </si>
  <si>
    <t>November 18, 2014 12:39 pm New York Time</t>
  </si>
  <si>
    <t>Scott</t>
  </si>
  <si>
    <t>Bockheim</t>
  </si>
  <si>
    <t>scott.bockheim@starbucks.com</t>
  </si>
  <si>
    <t>November 18, 2014 9:50 am New York Time</t>
  </si>
  <si>
    <t>Kirk</t>
  </si>
  <si>
    <t>Neumann</t>
  </si>
  <si>
    <t>kneumann@starbucks.com</t>
  </si>
  <si>
    <t>November 26, 2014 12:11 pm New York Time</t>
  </si>
  <si>
    <t>Derek</t>
  </si>
  <si>
    <t>Byrne</t>
  </si>
  <si>
    <t>derek.byrne@perkinelmer.com</t>
  </si>
  <si>
    <t>November 18, 2014 8:57 am New York Time</t>
  </si>
  <si>
    <t>Pinaki</t>
  </si>
  <si>
    <t>Ghosh</t>
  </si>
  <si>
    <t>pinaki@utexas.edu</t>
  </si>
  <si>
    <t>November 18, 2014 10:42 am New York Time</t>
  </si>
  <si>
    <t>PETER</t>
  </si>
  <si>
    <t>MOKOENA</t>
  </si>
  <si>
    <t>peter.mokoena@multichoice.co.za</t>
  </si>
  <si>
    <t>November 19, 2014 6:24 am New York Time</t>
  </si>
  <si>
    <t>South Africa</t>
  </si>
  <si>
    <t>Mukund</t>
  </si>
  <si>
    <t>dandu</t>
  </si>
  <si>
    <t>mdandu@sciquest.com</t>
  </si>
  <si>
    <t>November 18, 2014 9:26 am New York Time</t>
  </si>
  <si>
    <t>Nancy</t>
  </si>
  <si>
    <t>Albright</t>
  </si>
  <si>
    <t>nancy.albright@mtdproducts.com</t>
  </si>
  <si>
    <t>November 18, 2014 9:18 am New York Time</t>
  </si>
  <si>
    <t>JOe</t>
  </si>
  <si>
    <t>Chaplin</t>
  </si>
  <si>
    <t>joe.chaplin@af-group.com</t>
  </si>
  <si>
    <t>November 18, 2014 10:56 am New York Time</t>
  </si>
  <si>
    <t>Jaideep</t>
  </si>
  <si>
    <t>Gudipudi</t>
  </si>
  <si>
    <t>jaideep.gudipudi@bms.com</t>
  </si>
  <si>
    <t>November 18, 2014 9:57 am New York Time</t>
  </si>
  <si>
    <t>Bill</t>
  </si>
  <si>
    <t>Roth</t>
  </si>
  <si>
    <t>bill.roth@yrcfreight.com</t>
  </si>
  <si>
    <t>November 18, 2014 9:44 am New York Time</t>
  </si>
  <si>
    <t>Urmila</t>
  </si>
  <si>
    <t>Kodali</t>
  </si>
  <si>
    <t>urmila.kodali@gm.com</t>
  </si>
  <si>
    <t>November 18, 2014 9:02 am New York Time</t>
  </si>
  <si>
    <t>VICTOR</t>
  </si>
  <si>
    <t>VUONG</t>
  </si>
  <si>
    <t>vavu@chevron.com</t>
  </si>
  <si>
    <t>November 18, 2014 2:41 pm New York Time</t>
  </si>
  <si>
    <t>Kristian</t>
  </si>
  <si>
    <t>Milec</t>
  </si>
  <si>
    <t>kristian.milec@atos.net</t>
  </si>
  <si>
    <t>November 18, 2014 10:39 am New York Time</t>
  </si>
  <si>
    <t>Jeff</t>
  </si>
  <si>
    <t>Snyder</t>
  </si>
  <si>
    <t>jeff_snyder@colpal.com</t>
  </si>
  <si>
    <t>November 18, 2014 9:12 am New York Time</t>
  </si>
  <si>
    <t>Kevin</t>
  </si>
  <si>
    <t>Miner</t>
  </si>
  <si>
    <t>kevin.miner@yrcw.com</t>
  </si>
  <si>
    <t>November 18, 2014 3:34 pm New York Time</t>
  </si>
  <si>
    <t>ANANDAKRISHNAN</t>
  </si>
  <si>
    <t>RAMAKRISHNAN</t>
  </si>
  <si>
    <t>anand140778@gmail.com</t>
  </si>
  <si>
    <t>November 13, 2014 11:00 am New York Time</t>
  </si>
  <si>
    <t>Oakes</t>
  </si>
  <si>
    <t>bill@triton-images.com</t>
  </si>
  <si>
    <t>November 20, 2014 11:53 am New York Time</t>
  </si>
  <si>
    <t>Chad</t>
  </si>
  <si>
    <t>Lynch</t>
  </si>
  <si>
    <t>cqoo@chevron.com</t>
  </si>
  <si>
    <t>November 20, 2014 11:18 am New York Time</t>
  </si>
  <si>
    <t>Pradeep</t>
  </si>
  <si>
    <t>sholingar</t>
  </si>
  <si>
    <t>pradeepkumar_k_sholingar@whirlpool.com</t>
  </si>
  <si>
    <t>November 18, 2014 12:27 pm New York Time</t>
  </si>
  <si>
    <t>Nileshkumar</t>
  </si>
  <si>
    <t>Gohel</t>
  </si>
  <si>
    <t>ngohel@apple.com</t>
  </si>
  <si>
    <t>November 13, 2014 3:28 pm New York Time</t>
  </si>
  <si>
    <t>Srinivasa Rao</t>
  </si>
  <si>
    <t>Sure</t>
  </si>
  <si>
    <t>srinivasa_rao_sure@colpal.com</t>
  </si>
  <si>
    <t>November 21, 2014 8:53 am New York Time</t>
  </si>
  <si>
    <t>Trupti</t>
  </si>
  <si>
    <t>Agrawal</t>
  </si>
  <si>
    <t>trupti_agrawal@colpal.com</t>
  </si>
  <si>
    <t>November 20, 2014 3:45 am New York Time</t>
  </si>
  <si>
    <t>Garland</t>
  </si>
  <si>
    <t>Duvall</t>
  </si>
  <si>
    <t>gduvall@activ-tech.com</t>
  </si>
  <si>
    <t>November 18, 2014 9:37 am New York Time</t>
  </si>
  <si>
    <t>Shaoping</t>
  </si>
  <si>
    <t>Zhou</t>
  </si>
  <si>
    <t>szhou@topco.com</t>
  </si>
  <si>
    <t>Shelley</t>
  </si>
  <si>
    <t>Jilek</t>
  </si>
  <si>
    <t>shelley.jilek@usbank.com</t>
  </si>
  <si>
    <t>November 18, 2014 8:59 am New York Time</t>
  </si>
  <si>
    <t>I am new to understanding the needs for API but have had recent involvement in discussions with a large corporate customer requesting this service. This is a timely discussion for me to get a better understanding of API and how it could serve our customers</t>
  </si>
  <si>
    <t>Ed</t>
  </si>
  <si>
    <t>Murphy</t>
  </si>
  <si>
    <t>ed.murphy@perficient.com</t>
  </si>
  <si>
    <t>November 18, 2014 10:18 am New York Time</t>
  </si>
  <si>
    <t>John</t>
  </si>
  <si>
    <t>Tyron</t>
  </si>
  <si>
    <t>savabollyr@gmail.com</t>
  </si>
  <si>
    <t>November 18, 2014 11:56 am New York Time</t>
  </si>
  <si>
    <t>Charles</t>
  </si>
  <si>
    <t>Gifford</t>
  </si>
  <si>
    <t>charlie.gifford@cox.net</t>
  </si>
  <si>
    <t>November 18, 2014 6:43 pm New York Time</t>
  </si>
  <si>
    <t>Rajesh</t>
  </si>
  <si>
    <t>M</t>
  </si>
  <si>
    <t>rajesho.malani@cognizant.com</t>
  </si>
  <si>
    <t>November 18, 2014 11:42 pm New York Time</t>
  </si>
  <si>
    <t>Ravi</t>
  </si>
  <si>
    <t>Mahajan</t>
  </si>
  <si>
    <t>ravi.mahajan@prudential.com</t>
  </si>
  <si>
    <t>November 23, 2014 10:14 pm New York Time</t>
  </si>
  <si>
    <t>Sabu</t>
  </si>
  <si>
    <t>Syed</t>
  </si>
  <si>
    <t>sabu_syed@dell.com</t>
  </si>
  <si>
    <t>David</t>
  </si>
  <si>
    <t>Sieberg</t>
  </si>
  <si>
    <t>david.sieberg@prudential.com</t>
  </si>
  <si>
    <t>November 18, 2014 9:22 am New York Time</t>
  </si>
  <si>
    <t>Venu</t>
  </si>
  <si>
    <t>Chintareddy</t>
  </si>
  <si>
    <t>venu.chintareddy@usbank.com</t>
  </si>
  <si>
    <t>November 18, 2014 9:51 am New York Time</t>
  </si>
  <si>
    <t>hashim</t>
  </si>
  <si>
    <t>hamdani</t>
  </si>
  <si>
    <t>hashim.hamdani@searshc.com</t>
  </si>
  <si>
    <t>November 27, 2014 11:04 am New York Time</t>
  </si>
  <si>
    <t>sean</t>
  </si>
  <si>
    <t>davey</t>
  </si>
  <si>
    <t>sdavey@broadviewnet.com</t>
  </si>
  <si>
    <t>November 18, 2014 10:37 am New York Time</t>
  </si>
  <si>
    <t>NAVEED</t>
  </si>
  <si>
    <t>ANJUM</t>
  </si>
  <si>
    <t>naveed.anjum@yrcw.com</t>
  </si>
  <si>
    <t>November 18, 2014 9:48 am New York Time</t>
  </si>
  <si>
    <t>Abdul</t>
  </si>
  <si>
    <t>Hai</t>
  </si>
  <si>
    <t>ahai@att.com</t>
  </si>
  <si>
    <t>November 18, 2014 10:19 am New York Time</t>
  </si>
  <si>
    <t>Susan</t>
  </si>
  <si>
    <t>Masotti</t>
  </si>
  <si>
    <t>smasotti@kimberamerica.com</t>
  </si>
  <si>
    <t>November 18, 2014 9:15 am New York Time</t>
  </si>
  <si>
    <t>Hand</t>
  </si>
  <si>
    <t>scott_hand@dell.com</t>
  </si>
  <si>
    <t>November 18, 2014 11:13 am New York Time</t>
  </si>
  <si>
    <t>Kannan Sekkappan</t>
  </si>
  <si>
    <t>Support</t>
  </si>
  <si>
    <t>sekkak01@veritivcorp.com</t>
  </si>
  <si>
    <t>November 13, 2014 3:10 pm New York Time</t>
  </si>
  <si>
    <t>Bhanu Poorna Kumar</t>
  </si>
  <si>
    <t>Solleti</t>
  </si>
  <si>
    <t>bhanu.solleti@lowes.com</t>
  </si>
  <si>
    <t>November 18, 2014 9:25 am New York Time</t>
  </si>
  <si>
    <t>Jos</t>
  </si>
  <si>
    <t>Feyaerts</t>
  </si>
  <si>
    <t>jos.feyaerts@skynet.be</t>
  </si>
  <si>
    <t>November 21, 2014 5:10 am New York Time</t>
  </si>
  <si>
    <t>Belgium</t>
  </si>
  <si>
    <t>Toryn</t>
  </si>
  <si>
    <t>Lankford</t>
  </si>
  <si>
    <t>toryn.lankford@gm.com</t>
  </si>
  <si>
    <t>November 18, 2014 9:36 am New York Time</t>
  </si>
  <si>
    <t>swati</t>
  </si>
  <si>
    <t>patel</t>
  </si>
  <si>
    <t>swati.patel@adph.state.al.us</t>
  </si>
  <si>
    <t>November 18, 2014 12:58 pm New York Time</t>
  </si>
  <si>
    <t>Rajashree</t>
  </si>
  <si>
    <t>Parthasarathy</t>
  </si>
  <si>
    <t>rparthas@starbucks.com</t>
  </si>
  <si>
    <t>November 18, 2014 1:15 pm New York Time</t>
  </si>
  <si>
    <t>Kazi</t>
  </si>
  <si>
    <t>Ahmed</t>
  </si>
  <si>
    <t>kazi.ahmed@yale.edu</t>
  </si>
  <si>
    <t>Boadu</t>
  </si>
  <si>
    <t>boadudavid@gmail.com</t>
  </si>
  <si>
    <t>November 18, 2014 7:34 pm New York Time</t>
  </si>
  <si>
    <t>Ghana</t>
  </si>
  <si>
    <t>Karthik</t>
  </si>
  <si>
    <t>Sreenivasalu</t>
  </si>
  <si>
    <t>karthik.sreenivasalu@staples.com</t>
  </si>
  <si>
    <t>December 16, 2014 11:30 am New York Time</t>
  </si>
  <si>
    <t>Suraj</t>
  </si>
  <si>
    <t>Malhotra</t>
  </si>
  <si>
    <t>suraj.malhotra@lowes.com</t>
  </si>
  <si>
    <t>December 16, 2014 6:18 am New York Time</t>
  </si>
  <si>
    <t>Krishna</t>
  </si>
  <si>
    <t>Pugalarasan</t>
  </si>
  <si>
    <t>kpugalarasan@us.mufg.jp</t>
  </si>
  <si>
    <t>December 17, 2014 8:42 am New York Time</t>
  </si>
  <si>
    <t>Matt</t>
  </si>
  <si>
    <t>Thompson</t>
  </si>
  <si>
    <t>matt.thompson@genworth.com</t>
  </si>
  <si>
    <t>December 16, 2014 11:39 am New York Time</t>
  </si>
  <si>
    <t>Veera</t>
  </si>
  <si>
    <t>Chitturi</t>
  </si>
  <si>
    <t>veera.chitturi@haygroup.com</t>
  </si>
  <si>
    <t>December 18, 2014 11:05 am New York Time</t>
  </si>
  <si>
    <t>Nelson</t>
  </si>
  <si>
    <t>Stevland</t>
  </si>
  <si>
    <t>nelson.t.stevland@lowes.com</t>
  </si>
  <si>
    <t>December 12, 2014 1:25 pm New York Time</t>
  </si>
  <si>
    <t>Stella</t>
  </si>
  <si>
    <t>Pope</t>
  </si>
  <si>
    <t>popesl@bp.com</t>
  </si>
  <si>
    <t>December 17, 2014 4:27 am New York Time</t>
  </si>
  <si>
    <t>United Kingdom</t>
  </si>
  <si>
    <t>Joe</t>
  </si>
  <si>
    <t>Yang</t>
  </si>
  <si>
    <t>joe.yang@estes-express.com</t>
  </si>
  <si>
    <t>December 17, 2014 8:51 am New York Time</t>
  </si>
  <si>
    <t>Sanjay</t>
  </si>
  <si>
    <t>Boolani</t>
  </si>
  <si>
    <t>sboolani@yahoo.com</t>
  </si>
  <si>
    <t>December 16, 2014 12:39 pm New York Time</t>
  </si>
  <si>
    <t>Sabarish</t>
  </si>
  <si>
    <t>Asokan</t>
  </si>
  <si>
    <t>sabarish.asokan@universalorlando.com</t>
  </si>
  <si>
    <t>December 17, 2014 2:24 am New York Time</t>
  </si>
  <si>
    <t>Anandakrishnan</t>
  </si>
  <si>
    <t>Ramakrishnan</t>
  </si>
  <si>
    <t>anandakrishnan.ramakrishnan@staples.com</t>
  </si>
  <si>
    <t>December 16, 2014 1:11 pm New York Time</t>
  </si>
  <si>
    <t>suchetha</t>
  </si>
  <si>
    <t>ponakampalli</t>
  </si>
  <si>
    <t>suchetha.ponakampalli@haygroup.com</t>
  </si>
  <si>
    <t>December 16, 2014 1:31 pm New York Time</t>
  </si>
  <si>
    <t>Chandra</t>
  </si>
  <si>
    <t>Mavuluri</t>
  </si>
  <si>
    <t>chandra.s.mavuluri@lowes.com</t>
  </si>
  <si>
    <t>December 12, 2014 2:41 pm New York Time</t>
  </si>
  <si>
    <t>Naveen</t>
  </si>
  <si>
    <t>Gupta</t>
  </si>
  <si>
    <t>gupta.naveen@lowes.com</t>
  </si>
  <si>
    <t>December 18, 2014 11:16 am New York Time</t>
  </si>
  <si>
    <t>Ilse</t>
  </si>
  <si>
    <t>Wauters</t>
  </si>
  <si>
    <t>ilse.wauters@scmiles.com</t>
  </si>
  <si>
    <t>December 17, 2014 9:05 am New York Time</t>
  </si>
  <si>
    <t>Akshay</t>
  </si>
  <si>
    <t>Goel</t>
  </si>
  <si>
    <t>akshay.goel@igate.com</t>
  </si>
  <si>
    <t>December 17, 2014 5:31 am New York Time</t>
  </si>
  <si>
    <t>Jonathan</t>
  </si>
  <si>
    <t>Presson</t>
  </si>
  <si>
    <t>jon.presson@estes-express.com</t>
  </si>
  <si>
    <t>December 18, 2014 10:18 am New York Time</t>
  </si>
  <si>
    <t>Morley</t>
  </si>
  <si>
    <t>david.morley@mylan.com</t>
  </si>
  <si>
    <t>December 17, 2014 7:06 am New York Time</t>
  </si>
  <si>
    <t>guru</t>
  </si>
  <si>
    <t>prasad</t>
  </si>
  <si>
    <t>guruprasad.vyapaka@duke-energy.com</t>
  </si>
  <si>
    <t>December 18, 2014 11:37 am New York Time</t>
  </si>
  <si>
    <t>Richard</t>
  </si>
  <si>
    <t>Bolesta</t>
  </si>
  <si>
    <t>richard.bolesta@ca.com</t>
  </si>
  <si>
    <t>December 18, 2014 9:02 am New York Time</t>
  </si>
  <si>
    <t>Dave</t>
  </si>
  <si>
    <t>Skergan</t>
  </si>
  <si>
    <t>david.skergan@duke-energy.com</t>
  </si>
  <si>
    <t>December 1, 2014 7:41 am New York Time</t>
  </si>
  <si>
    <t>shyam</t>
  </si>
  <si>
    <t>rayaprolu</t>
  </si>
  <si>
    <t>srayaprolu@newcorp.com</t>
  </si>
  <si>
    <t>December 18, 2014 11:01 am New York Time</t>
  </si>
  <si>
    <t>Murali</t>
  </si>
  <si>
    <t>Chakravarthy</t>
  </si>
  <si>
    <t>murali.chakravarthy@bms.com</t>
  </si>
  <si>
    <t>December 16, 2014 2:34 pm New York Time</t>
  </si>
  <si>
    <t>Srinivas</t>
  </si>
  <si>
    <t>Machani</t>
  </si>
  <si>
    <t>srinivas.machani2@fiserv.com</t>
  </si>
  <si>
    <t>December 9, 2014 5:12 pm New York Time</t>
  </si>
  <si>
    <t>Helen</t>
  </si>
  <si>
    <t>Zeng</t>
  </si>
  <si>
    <t>helen.zeng@grainger.com</t>
  </si>
  <si>
    <t>December 9, 2014 7:04 pm New York Time</t>
  </si>
  <si>
    <t>Chris</t>
  </si>
  <si>
    <t>Heebink</t>
  </si>
  <si>
    <t>cbheebink@bremer.com</t>
  </si>
  <si>
    <t>December 17, 2014 11:22 am New York Time</t>
  </si>
  <si>
    <t>Murat</t>
  </si>
  <si>
    <t>Bilgin</t>
  </si>
  <si>
    <t>murat.bilgin@estes-express.com</t>
  </si>
  <si>
    <t>December 18, 2014 10:20 am New York Time</t>
  </si>
  <si>
    <t>53.0 mins</t>
  </si>
  <si>
    <t>57.0 mins</t>
  </si>
  <si>
    <t>35.0 mins</t>
  </si>
  <si>
    <t>46.0 mins</t>
  </si>
  <si>
    <t>47.0 mins</t>
  </si>
  <si>
    <t>58.0 mins</t>
  </si>
  <si>
    <t>44.0 mins</t>
  </si>
  <si>
    <t>4.0 mins</t>
  </si>
  <si>
    <t>69.0 mins</t>
  </si>
  <si>
    <t>62.0 mins</t>
  </si>
  <si>
    <t>56.0 mins</t>
  </si>
  <si>
    <t>67.0 mins</t>
  </si>
  <si>
    <t>55.0 mins</t>
  </si>
  <si>
    <t>38.0 mins</t>
  </si>
  <si>
    <t>41.0 mins</t>
  </si>
  <si>
    <t>20.0 mins</t>
  </si>
  <si>
    <t>66.0 mins</t>
  </si>
  <si>
    <t>11.0 mins</t>
  </si>
  <si>
    <t>28.0 mins</t>
  </si>
  <si>
    <t>22.0 mins</t>
  </si>
  <si>
    <t>65.0 mins</t>
  </si>
  <si>
    <t>42.0 mins</t>
  </si>
  <si>
    <t>Alabama Department of Public Health</t>
  </si>
  <si>
    <t>1-99</t>
  </si>
  <si>
    <t>Attended Live:</t>
  </si>
  <si>
    <t>Comments for Sales</t>
  </si>
  <si>
    <t>This person registered but did not attend the webinar "Live Demo of webMethods API Portal Solution" on Dec. 18, 2014. The webinar showcased our new API Portal product and was conducted by Rob Rowe and Daniel Adelhardt of Product Marketing. You can watch the webinar here: http://bit.ly/1xL60jR  PLEASE FOLLOW UP TO IDENTIFY ANY API MANAGEMENT OPPORTUNITIES.</t>
  </si>
  <si>
    <t>This person attended the webinar "Live Demo of webMethods API Portal Solution" on Dec. 18, 2014. The webinar showcased our new API Portal product and was conducted by Rob Rowe and Daniel Adelhardt of Product Marketing. You can watch the webinar here: http://bit.ly/1xL60jR  PLEASE FOLLOW UP TO IDENTIFY ANY API MANAGEMENT OPPORTUNITIES.</t>
  </si>
  <si>
    <t>Attend Duration</t>
  </si>
  <si>
    <t>United States</t>
  </si>
  <si>
    <t>Campaign Name</t>
  </si>
  <si>
    <t>NA Mktg 14: Campaign: API Portal Live Demo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</si>
</sst>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0"/>
      <color theme="1"/>
      <name val="Trebuchet MS"/>
      <family val="2"/>
    </font>
    <font>
      <sz val="10"/>
      <color indexed="8"/>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sz val="10"/>
      <color indexed="52"/>
      <name val="Trebuchet MS"/>
      <family val="2"/>
    </font>
    <font>
      <b/>
      <sz val="10"/>
      <color indexed="9"/>
      <name val="Trebuchet MS"/>
      <family val="2"/>
    </font>
    <font>
      <sz val="10"/>
      <color indexed="10"/>
      <name val="Trebuchet MS"/>
      <family val="2"/>
    </font>
    <font>
      <i/>
      <sz val="10"/>
      <color indexed="23"/>
      <name val="Trebuchet MS"/>
      <family val="2"/>
    </font>
    <font>
      <b/>
      <sz val="10"/>
      <color indexed="8"/>
      <name val="Trebuchet MS"/>
      <family val="2"/>
    </font>
    <font>
      <sz val="10"/>
      <color indexed="9"/>
      <name val="Trebuchet MS"/>
      <family val="2"/>
    </font>
    <font>
      <sz val="10"/>
      <color theme="0"/>
      <name val="Trebuchet MS"/>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sz val="10"/>
      <color rgb="FF3F3F76"/>
      <name val="Trebuchet MS"/>
      <family val="2"/>
    </font>
    <font>
      <sz val="10"/>
      <color rgb="FFFA7D00"/>
      <name val="Trebuchet MS"/>
      <family val="2"/>
    </font>
    <font>
      <sz val="10"/>
      <color rgb="FF9C6500"/>
      <name val="Trebuchet MS"/>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9">
    <xf numFmtId="0" fontId="0" fillId="0" borderId="0" xfId="0" applyAlignment="1">
      <alignment/>
    </xf>
    <xf numFmtId="0" fontId="32" fillId="0" borderId="0" xfId="0" applyFont="1" applyAlignment="1">
      <alignment wrapText="1"/>
    </xf>
    <xf numFmtId="0" fontId="0" fillId="0" borderId="0" xfId="0" applyAlignment="1">
      <alignment wrapText="1"/>
    </xf>
    <xf numFmtId="0" fontId="0" fillId="0" borderId="0" xfId="0" applyAlignment="1">
      <alignment horizontal="center" wrapText="1"/>
    </xf>
    <xf numFmtId="0" fontId="32" fillId="0" borderId="10" xfId="0" applyFont="1" applyBorder="1" applyAlignment="1">
      <alignment wrapText="1"/>
    </xf>
    <xf numFmtId="0" fontId="32" fillId="0" borderId="10" xfId="0" applyFont="1" applyBorder="1" applyAlignment="1">
      <alignment horizontal="center" wrapText="1"/>
    </xf>
    <xf numFmtId="0" fontId="0" fillId="0" borderId="10" xfId="0" applyFont="1" applyBorder="1" applyAlignment="1">
      <alignment wrapText="1"/>
    </xf>
    <xf numFmtId="49" fontId="0" fillId="0" borderId="10" xfId="0" applyNumberFormat="1" applyFont="1" applyBorder="1" applyAlignment="1">
      <alignment horizontal="center" wrapText="1"/>
    </xf>
    <xf numFmtId="0" fontId="0" fillId="0" borderId="1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1"/>
  <sheetViews>
    <sheetView tabSelected="1" zoomScalePageLayoutView="0" workbookViewId="0" topLeftCell="A1">
      <pane ySplit="1" topLeftCell="A2" activePane="bottomLeft" state="frozen"/>
      <selection pane="topLeft" activeCell="A1" sqref="A1"/>
      <selection pane="bottomLeft" activeCell="C90" sqref="C90"/>
    </sheetView>
  </sheetViews>
  <sheetFormatPr defaultColWidth="9.140625" defaultRowHeight="15"/>
  <cols>
    <col min="1" max="1" width="17.57421875" style="2" customWidth="1"/>
    <col min="2" max="2" width="33.00390625" style="2" bestFit="1" customWidth="1"/>
    <col min="3" max="3" width="18.421875" style="2" bestFit="1" customWidth="1"/>
    <col min="4" max="4" width="14.421875" style="2" bestFit="1" customWidth="1"/>
    <col min="5" max="5" width="39.00390625" style="2" bestFit="1" customWidth="1"/>
    <col min="6" max="6" width="38.7109375" style="2" bestFit="1" customWidth="1"/>
    <col min="7" max="7" width="15.57421875" style="2" bestFit="1" customWidth="1"/>
    <col min="8" max="8" width="29.140625" style="2" bestFit="1" customWidth="1"/>
    <col min="9" max="9" width="15.8515625" style="2" bestFit="1" customWidth="1"/>
    <col min="10" max="10" width="22.421875" style="2" bestFit="1" customWidth="1"/>
    <col min="11" max="11" width="44.7109375" style="2" customWidth="1"/>
    <col min="12" max="12" width="21.57421875" style="3" bestFit="1" customWidth="1"/>
    <col min="13" max="13" width="29.57421875" style="2" customWidth="1"/>
    <col min="14" max="14" width="44.7109375" style="2" customWidth="1"/>
    <col min="15" max="15" width="39.8515625" style="2" bestFit="1" customWidth="1"/>
    <col min="16" max="16" width="14.00390625" style="2" bestFit="1" customWidth="1"/>
    <col min="17" max="17" width="9.28125" style="2" bestFit="1" customWidth="1"/>
    <col min="18" max="16384" width="9.140625" style="2" customWidth="1"/>
  </cols>
  <sheetData>
    <row r="1" spans="1:17" s="1" customFormat="1" ht="59.25" customHeight="1">
      <c r="A1" s="4" t="s">
        <v>409</v>
      </c>
      <c r="B1" s="4" t="s">
        <v>6</v>
      </c>
      <c r="C1" s="4" t="s">
        <v>0</v>
      </c>
      <c r="D1" s="4" t="s">
        <v>1</v>
      </c>
      <c r="E1" s="4" t="s">
        <v>4</v>
      </c>
      <c r="F1" s="4" t="s">
        <v>2</v>
      </c>
      <c r="G1" s="4" t="s">
        <v>7</v>
      </c>
      <c r="H1" s="4" t="s">
        <v>8</v>
      </c>
      <c r="I1" s="4" t="s">
        <v>9</v>
      </c>
      <c r="J1" s="4" t="s">
        <v>10</v>
      </c>
      <c r="K1" s="4" t="s">
        <v>404</v>
      </c>
      <c r="L1" s="5" t="s">
        <v>5</v>
      </c>
      <c r="M1" s="4" t="s">
        <v>11</v>
      </c>
      <c r="N1" s="4" t="s">
        <v>12</v>
      </c>
      <c r="O1" s="4" t="s">
        <v>3</v>
      </c>
      <c r="P1" s="4" t="s">
        <v>403</v>
      </c>
      <c r="Q1" s="4" t="s">
        <v>407</v>
      </c>
    </row>
    <row r="2" spans="1:17" s="1" customFormat="1" ht="135">
      <c r="A2" s="6" t="s">
        <v>410</v>
      </c>
      <c r="B2" s="6" t="str">
        <f>"21CMS"</f>
        <v>21CMS</v>
      </c>
      <c r="C2" s="6" t="s">
        <v>193</v>
      </c>
      <c r="D2" s="6" t="s">
        <v>194</v>
      </c>
      <c r="E2" s="6" t="str">
        <f>"GM"</f>
        <v>GM</v>
      </c>
      <c r="F2" s="6" t="s">
        <v>195</v>
      </c>
      <c r="G2" s="6" t="str">
        <f>"1-2087885434"</f>
        <v>1-2087885434</v>
      </c>
      <c r="H2" s="6" t="str">
        <f>"ID"</f>
        <v>ID</v>
      </c>
      <c r="I2" s="6" t="str">
        <f>"83333"</f>
        <v>83333</v>
      </c>
      <c r="J2" s="6" t="s">
        <v>408</v>
      </c>
      <c r="K2" s="6" t="s">
        <v>405</v>
      </c>
      <c r="L2" s="7" t="s">
        <v>402</v>
      </c>
      <c r="M2" s="6" t="str">
        <f>"No"</f>
        <v>No</v>
      </c>
      <c r="N2" s="6" t="str">
        <f>"info only"</f>
        <v>info only</v>
      </c>
      <c r="O2" s="6" t="s">
        <v>196</v>
      </c>
      <c r="P2" s="6" t="s">
        <v>17</v>
      </c>
      <c r="Q2" s="6"/>
    </row>
    <row r="3" spans="1:17" s="1" customFormat="1" ht="135">
      <c r="A3" s="6" t="s">
        <v>410</v>
      </c>
      <c r="B3" s="6" t="str">
        <f>"Actavis"</f>
        <v>Actavis</v>
      </c>
      <c r="C3" s="6" t="s">
        <v>81</v>
      </c>
      <c r="D3" s="6" t="s">
        <v>82</v>
      </c>
      <c r="E3" s="6" t="str">
        <f>"Analyst"</f>
        <v>Analyst</v>
      </c>
      <c r="F3" s="6" t="s">
        <v>83</v>
      </c>
      <c r="G3" s="6" t="str">
        <f>"1-6318587637"</f>
        <v>1-6318587637</v>
      </c>
      <c r="H3" s="6" t="str">
        <f>"NY"</f>
        <v>NY</v>
      </c>
      <c r="I3" s="6" t="str">
        <f>"11704"</f>
        <v>11704</v>
      </c>
      <c r="J3" s="6" t="s">
        <v>408</v>
      </c>
      <c r="K3" s="6" t="s">
        <v>405</v>
      </c>
      <c r="L3" s="8" t="s">
        <v>20</v>
      </c>
      <c r="M3" s="6" t="str">
        <f>"No"</f>
        <v>No</v>
      </c>
      <c r="N3" s="6" t="str">
        <f>"no"</f>
        <v>no</v>
      </c>
      <c r="O3" s="6" t="s">
        <v>84</v>
      </c>
      <c r="P3" s="6" t="s">
        <v>17</v>
      </c>
      <c r="Q3" s="6"/>
    </row>
    <row r="4" spans="1:17" s="1" customFormat="1" ht="135">
      <c r="A4" s="6" t="s">
        <v>410</v>
      </c>
      <c r="B4" s="6" t="str">
        <f>"Activ Technologies, Inc"</f>
        <v>Activ Technologies, Inc</v>
      </c>
      <c r="C4" s="6" t="s">
        <v>173</v>
      </c>
      <c r="D4" s="6" t="s">
        <v>174</v>
      </c>
      <c r="E4" s="6" t="str">
        <f>"CTO"</f>
        <v>CTO</v>
      </c>
      <c r="F4" s="6" t="s">
        <v>175</v>
      </c>
      <c r="G4" s="6" t="str">
        <f>"1-6785804005"</f>
        <v>1-6785804005</v>
      </c>
      <c r="H4" s="6" t="str">
        <f>"Georgia"</f>
        <v>Georgia</v>
      </c>
      <c r="I4" s="6" t="str">
        <f>"30075"</f>
        <v>30075</v>
      </c>
      <c r="J4" s="6" t="s">
        <v>408</v>
      </c>
      <c r="K4" s="6" t="s">
        <v>405</v>
      </c>
      <c r="L4" s="7" t="s">
        <v>402</v>
      </c>
      <c r="M4" s="6" t="str">
        <f>"Yes"</f>
        <v>Yes</v>
      </c>
      <c r="N4" s="6" t="str">
        <f>"None at the moment, but interested in heading off any we may have."</f>
        <v>None at the moment, but interested in heading off any we may have.</v>
      </c>
      <c r="O4" s="6" t="s">
        <v>176</v>
      </c>
      <c r="P4" s="6" t="s">
        <v>17</v>
      </c>
      <c r="Q4" s="6"/>
    </row>
    <row r="5" spans="1:17" s="1" customFormat="1" ht="120">
      <c r="A5" s="6" t="s">
        <v>410</v>
      </c>
      <c r="B5" s="6" t="str">
        <f>"Adaptive Systems Consulting, LLC"</f>
        <v>Adaptive Systems Consulting, LLC</v>
      </c>
      <c r="C5" s="6" t="s">
        <v>41</v>
      </c>
      <c r="D5" s="6" t="s">
        <v>42</v>
      </c>
      <c r="E5" s="6" t="str">
        <f>"Managing Director &amp; Chief Architect"</f>
        <v>Managing Director &amp; Chief Architect</v>
      </c>
      <c r="F5" s="6" t="s">
        <v>43</v>
      </c>
      <c r="G5" s="6" t="str">
        <f>"1-717.870.6968"</f>
        <v>1-717.870.6968</v>
      </c>
      <c r="H5" s="6" t="str">
        <f>"PA"</f>
        <v>PA</v>
      </c>
      <c r="I5" s="6" t="str">
        <f>"17404"</f>
        <v>17404</v>
      </c>
      <c r="J5" s="6" t="s">
        <v>408</v>
      </c>
      <c r="K5" s="6" t="s">
        <v>406</v>
      </c>
      <c r="L5" s="7" t="s">
        <v>402</v>
      </c>
      <c r="M5" s="6" t="str">
        <f>"No"</f>
        <v>No</v>
      </c>
      <c r="N5" s="6" t="str">
        <f>"Multiple vendor integration"</f>
        <v>Multiple vendor integration</v>
      </c>
      <c r="O5" s="6" t="s">
        <v>44</v>
      </c>
      <c r="P5" s="6" t="s">
        <v>18</v>
      </c>
      <c r="Q5" s="6" t="s">
        <v>398</v>
      </c>
    </row>
    <row r="6" spans="1:17" s="1" customFormat="1" ht="120">
      <c r="A6" s="6" t="s">
        <v>410</v>
      </c>
      <c r="B6" s="6" t="s">
        <v>401</v>
      </c>
      <c r="C6" s="6" t="s">
        <v>256</v>
      </c>
      <c r="D6" s="6" t="s">
        <v>257</v>
      </c>
      <c r="E6" s="6" t="str">
        <f>"Sr.Consultant"</f>
        <v>Sr.Consultant</v>
      </c>
      <c r="F6" s="6" t="s">
        <v>258</v>
      </c>
      <c r="G6" s="6" t="str">
        <f>"1-8705430062"</f>
        <v>1-8705430062</v>
      </c>
      <c r="H6" s="6" t="str">
        <f>"Alabama"</f>
        <v>Alabama</v>
      </c>
      <c r="I6" s="6" t="str">
        <f>"36116"</f>
        <v>36116</v>
      </c>
      <c r="J6" s="6" t="s">
        <v>408</v>
      </c>
      <c r="K6" s="6" t="s">
        <v>406</v>
      </c>
      <c r="L6" s="8" t="s">
        <v>63</v>
      </c>
      <c r="M6" s="6" t="str">
        <f>"No"</f>
        <v>No</v>
      </c>
      <c r="N6" s="6" t="str">
        <f>"Not yet."</f>
        <v>Not yet.</v>
      </c>
      <c r="O6" s="6" t="s">
        <v>259</v>
      </c>
      <c r="P6" s="6" t="s">
        <v>18</v>
      </c>
      <c r="Q6" s="6" t="s">
        <v>397</v>
      </c>
    </row>
    <row r="7" spans="1:17" s="1" customFormat="1" ht="135">
      <c r="A7" s="6" t="s">
        <v>410</v>
      </c>
      <c r="B7" s="6" t="str">
        <f>"American FIdelity Assurance"</f>
        <v>American FIdelity Assurance</v>
      </c>
      <c r="C7" s="6" t="s">
        <v>114</v>
      </c>
      <c r="D7" s="6" t="s">
        <v>115</v>
      </c>
      <c r="E7" s="6" t="str">
        <f>"Software Engineer"</f>
        <v>Software Engineer</v>
      </c>
      <c r="F7" s="6" t="s">
        <v>116</v>
      </c>
      <c r="G7" s="6" t="str">
        <f>"1-4055235727"</f>
        <v>1-4055235727</v>
      </c>
      <c r="H7" s="6" t="str">
        <f>"Oklahoma"</f>
        <v>Oklahoma</v>
      </c>
      <c r="I7" s="6" t="str">
        <f>"73103"</f>
        <v>73103</v>
      </c>
      <c r="J7" s="6" t="s">
        <v>408</v>
      </c>
      <c r="K7" s="6" t="s">
        <v>405</v>
      </c>
      <c r="L7" s="8" t="s">
        <v>20</v>
      </c>
      <c r="M7" s="6" t="str">
        <f>"Yes"</f>
        <v>Yes</v>
      </c>
      <c r="N7" s="6" t="str">
        <f>"information"</f>
        <v>information</v>
      </c>
      <c r="O7" s="6" t="s">
        <v>117</v>
      </c>
      <c r="P7" s="6" t="s">
        <v>17</v>
      </c>
      <c r="Q7" s="6"/>
    </row>
    <row r="8" spans="1:17" s="1" customFormat="1" ht="135">
      <c r="A8" s="6" t="s">
        <v>410</v>
      </c>
      <c r="B8" s="6" t="str">
        <f>"Apple Inc"</f>
        <v>Apple Inc</v>
      </c>
      <c r="C8" s="6" t="s">
        <v>161</v>
      </c>
      <c r="D8" s="6" t="s">
        <v>162</v>
      </c>
      <c r="E8" s="6" t="str">
        <f>"B2B Lead"</f>
        <v>B2B Lead</v>
      </c>
      <c r="F8" s="6" t="s">
        <v>163</v>
      </c>
      <c r="G8" s="6" t="str">
        <f>"1-4087831972"</f>
        <v>1-4087831972</v>
      </c>
      <c r="H8" s="6" t="str">
        <f>"CA"</f>
        <v>CA</v>
      </c>
      <c r="I8" s="6" t="str">
        <f>"94087"</f>
        <v>94087</v>
      </c>
      <c r="J8" s="6" t="s">
        <v>408</v>
      </c>
      <c r="K8" s="6" t="s">
        <v>405</v>
      </c>
      <c r="L8" s="8" t="s">
        <v>20</v>
      </c>
      <c r="M8" s="6" t="str">
        <f>"No"</f>
        <v>No</v>
      </c>
      <c r="N8" s="6" t="str">
        <f>"Exploring API Management"</f>
        <v>Exploring API Management</v>
      </c>
      <c r="O8" s="6" t="s">
        <v>164</v>
      </c>
      <c r="P8" s="6" t="s">
        <v>17</v>
      </c>
      <c r="Q8" s="6"/>
    </row>
    <row r="9" spans="1:17" s="1" customFormat="1" ht="120">
      <c r="A9" s="6" t="s">
        <v>410</v>
      </c>
      <c r="B9" s="6" t="str">
        <f>"Asurion Inc"</f>
        <v>Asurion Inc</v>
      </c>
      <c r="C9" s="6" t="s">
        <v>355</v>
      </c>
      <c r="D9" s="6" t="s">
        <v>356</v>
      </c>
      <c r="E9" s="6" t="str">
        <f>"Integration Architect"</f>
        <v>Integration Architect</v>
      </c>
      <c r="F9" s="6" t="s">
        <v>357</v>
      </c>
      <c r="G9" s="6" t="str">
        <f>"1-7039945882"</f>
        <v>1-7039945882</v>
      </c>
      <c r="H9" s="6" t="str">
        <f>"VA"</f>
        <v>VA</v>
      </c>
      <c r="I9" s="6" t="str">
        <f>"20166"</f>
        <v>20166</v>
      </c>
      <c r="J9" s="6" t="s">
        <v>408</v>
      </c>
      <c r="K9" s="6" t="s">
        <v>406</v>
      </c>
      <c r="L9" s="8" t="s">
        <v>20</v>
      </c>
      <c r="M9" s="6" t="str">
        <f>"No"</f>
        <v>No</v>
      </c>
      <c r="N9" s="6" t="str">
        <f>"N/A"</f>
        <v>N/A</v>
      </c>
      <c r="O9" s="6" t="s">
        <v>358</v>
      </c>
      <c r="P9" s="6" t="s">
        <v>18</v>
      </c>
      <c r="Q9" s="6" t="s">
        <v>396</v>
      </c>
    </row>
    <row r="10" spans="1:17" s="1" customFormat="1" ht="135">
      <c r="A10" s="6" t="s">
        <v>410</v>
      </c>
      <c r="B10" s="6" t="str">
        <f>"AT&amp;T"</f>
        <v>AT&amp;T</v>
      </c>
      <c r="C10" s="6" t="s">
        <v>228</v>
      </c>
      <c r="D10" s="6" t="s">
        <v>229</v>
      </c>
      <c r="E10" s="6" t="str">
        <f>"Pricipal Tech ARchitect"</f>
        <v>Pricipal Tech ARchitect</v>
      </c>
      <c r="F10" s="6" t="s">
        <v>230</v>
      </c>
      <c r="G10" s="6" t="str">
        <f>"1-732 420 6632"</f>
        <v>1-732 420 6632</v>
      </c>
      <c r="H10" s="6" t="str">
        <f>"New Jersey"</f>
        <v>New Jersey</v>
      </c>
      <c r="I10" s="6" t="str">
        <f>"07748"</f>
        <v>07748</v>
      </c>
      <c r="J10" s="6" t="s">
        <v>408</v>
      </c>
      <c r="K10" s="6" t="s">
        <v>405</v>
      </c>
      <c r="L10" s="8" t="s">
        <v>20</v>
      </c>
      <c r="M10" s="6" t="str">
        <f>"Yes"</f>
        <v>Yes</v>
      </c>
      <c r="N10" s="6" t="str">
        <f>"Building synergy among APIs developed by many groups within the company"</f>
        <v>Building synergy among APIs developed by many groups within the company</v>
      </c>
      <c r="O10" s="6" t="s">
        <v>231</v>
      </c>
      <c r="P10" s="6" t="s">
        <v>17</v>
      </c>
      <c r="Q10" s="6"/>
    </row>
    <row r="11" spans="1:17" s="1" customFormat="1" ht="135">
      <c r="A11" s="6" t="s">
        <v>410</v>
      </c>
      <c r="B11" s="6" t="str">
        <f>"Atos IT Solutions &amp; Services"</f>
        <v>Atos IT Solutions &amp; Services</v>
      </c>
      <c r="C11" s="6" t="s">
        <v>134</v>
      </c>
      <c r="D11" s="6" t="s">
        <v>135</v>
      </c>
      <c r="E11" s="6" t="str">
        <f>"Senior Consultant"</f>
        <v>Senior Consultant</v>
      </c>
      <c r="F11" s="6" t="s">
        <v>136</v>
      </c>
      <c r="G11" s="6" t="str">
        <f>"1-2482299719"</f>
        <v>1-2482299719</v>
      </c>
      <c r="H11" s="6" t="str">
        <f>"3155 W Big Beaver Rd, Suite 216"</f>
        <v>3155 W Big Beaver Rd, Suite 216</v>
      </c>
      <c r="I11" s="6" t="str">
        <f>"48084"</f>
        <v>48084</v>
      </c>
      <c r="J11" s="6" t="s">
        <v>408</v>
      </c>
      <c r="K11" s="6" t="s">
        <v>405</v>
      </c>
      <c r="L11" s="8" t="s">
        <v>20</v>
      </c>
      <c r="M11" s="6" t="str">
        <f>"Yes"</f>
        <v>Yes</v>
      </c>
      <c r="N11" s="6" t="str">
        <f>"Goverannce"</f>
        <v>Goverannce</v>
      </c>
      <c r="O11" s="6" t="s">
        <v>137</v>
      </c>
      <c r="P11" s="6" t="s">
        <v>17</v>
      </c>
      <c r="Q11" s="6"/>
    </row>
    <row r="12" spans="1:17" s="1" customFormat="1" ht="120">
      <c r="A12" s="6" t="s">
        <v>410</v>
      </c>
      <c r="B12" s="6" t="str">
        <f>"Bank of America"</f>
        <v>Bank of America</v>
      </c>
      <c r="C12" s="6" t="s">
        <v>59</v>
      </c>
      <c r="D12" s="6" t="s">
        <v>60</v>
      </c>
      <c r="E12" s="6" t="str">
        <f>"Operations Manager"</f>
        <v>Operations Manager</v>
      </c>
      <c r="F12" s="6" t="s">
        <v>61</v>
      </c>
      <c r="G12" s="6" t="str">
        <f>"1-817-864-3554"</f>
        <v>1-817-864-3554</v>
      </c>
      <c r="H12" s="6" t="str">
        <f>"Texas"</f>
        <v>Texas</v>
      </c>
      <c r="I12" s="6" t="str">
        <f>"75266"</f>
        <v>75266</v>
      </c>
      <c r="J12" s="6" t="s">
        <v>408</v>
      </c>
      <c r="K12" s="6" t="s">
        <v>406</v>
      </c>
      <c r="L12" s="8" t="s">
        <v>63</v>
      </c>
      <c r="M12" s="6" t="str">
        <f>"No"</f>
        <v>No</v>
      </c>
      <c r="N12" s="6" t="str">
        <f>"Tend to run nightly flat files in my area."</f>
        <v>Tend to run nightly flat files in my area.</v>
      </c>
      <c r="O12" s="6" t="s">
        <v>62</v>
      </c>
      <c r="P12" s="6" t="s">
        <v>18</v>
      </c>
      <c r="Q12" s="6" t="s">
        <v>392</v>
      </c>
    </row>
    <row r="13" spans="1:17" s="1" customFormat="1" ht="135">
      <c r="A13" s="6" t="s">
        <v>410</v>
      </c>
      <c r="B13" s="6" t="str">
        <f>"BP"</f>
        <v>BP</v>
      </c>
      <c r="C13" s="6" t="s">
        <v>295</v>
      </c>
      <c r="D13" s="6" t="s">
        <v>296</v>
      </c>
      <c r="E13" s="6" t="str">
        <f>"Enterprise Activity Model Manager"</f>
        <v>Enterprise Activity Model Manager</v>
      </c>
      <c r="F13" s="6" t="s">
        <v>297</v>
      </c>
      <c r="G13" s="6" t="str">
        <f>"1-07785 353175"</f>
        <v>1-07785 353175</v>
      </c>
      <c r="H13" s="6" t="str">
        <f>"London"</f>
        <v>London</v>
      </c>
      <c r="I13" s="6" t="str">
        <f>"TW14 8HA"</f>
        <v>TW14 8HA</v>
      </c>
      <c r="J13" s="6" t="s">
        <v>299</v>
      </c>
      <c r="K13" s="6" t="s">
        <v>405</v>
      </c>
      <c r="L13" s="8" t="s">
        <v>20</v>
      </c>
      <c r="M13" s="6" t="str">
        <f>"Yes"</f>
        <v>Yes</v>
      </c>
      <c r="N13" s="6" t="str">
        <f>"Multiple"</f>
        <v>Multiple</v>
      </c>
      <c r="O13" s="6" t="s">
        <v>298</v>
      </c>
      <c r="P13" s="6" t="s">
        <v>17</v>
      </c>
      <c r="Q13" s="6"/>
    </row>
    <row r="14" spans="1:17" s="1" customFormat="1" ht="120">
      <c r="A14" s="6" t="s">
        <v>410</v>
      </c>
      <c r="B14" s="6" t="str">
        <f>"Bremer Bank"</f>
        <v>Bremer Bank</v>
      </c>
      <c r="C14" s="6" t="s">
        <v>371</v>
      </c>
      <c r="D14" s="6" t="s">
        <v>372</v>
      </c>
      <c r="E14" s="6" t="str">
        <f>"Senior Developer"</f>
        <v>Senior Developer</v>
      </c>
      <c r="F14" s="6" t="s">
        <v>373</v>
      </c>
      <c r="G14" s="6" t="str">
        <f>"1-651-734-4596"</f>
        <v>1-651-734-4596</v>
      </c>
      <c r="H14" s="6" t="str">
        <f>"MN"</f>
        <v>MN</v>
      </c>
      <c r="I14" s="6" t="str">
        <f>"55042"</f>
        <v>55042</v>
      </c>
      <c r="J14" s="6" t="s">
        <v>408</v>
      </c>
      <c r="K14" s="6" t="s">
        <v>406</v>
      </c>
      <c r="L14" s="8" t="s">
        <v>58</v>
      </c>
      <c r="M14" s="6" t="str">
        <f>"No"</f>
        <v>No</v>
      </c>
      <c r="N14" s="6" t="str">
        <f>"NA"</f>
        <v>NA</v>
      </c>
      <c r="O14" s="6" t="s">
        <v>374</v>
      </c>
      <c r="P14" s="6" t="s">
        <v>18</v>
      </c>
      <c r="Q14" s="6" t="s">
        <v>399</v>
      </c>
    </row>
    <row r="15" spans="1:17" s="1" customFormat="1" ht="135">
      <c r="A15" s="6" t="s">
        <v>410</v>
      </c>
      <c r="B15" s="6" t="str">
        <f>"Bristol Myers Squibb"</f>
        <v>Bristol Myers Squibb</v>
      </c>
      <c r="C15" s="6" t="s">
        <v>359</v>
      </c>
      <c r="D15" s="6" t="s">
        <v>360</v>
      </c>
      <c r="E15" s="6" t="str">
        <f>"Solution Architect"</f>
        <v>Solution Architect</v>
      </c>
      <c r="F15" s="6" t="s">
        <v>361</v>
      </c>
      <c r="G15" s="6" t="str">
        <f>"1-609 818 4000"</f>
        <v>1-609 818 4000</v>
      </c>
      <c r="H15" s="6" t="str">
        <f>"NJ"</f>
        <v>NJ</v>
      </c>
      <c r="I15" s="6" t="str">
        <f>"08852"</f>
        <v>08852</v>
      </c>
      <c r="J15" s="6" t="s">
        <v>408</v>
      </c>
      <c r="K15" s="6" t="s">
        <v>405</v>
      </c>
      <c r="L15" s="8" t="s">
        <v>20</v>
      </c>
      <c r="M15" s="6" t="str">
        <f>"Yes"</f>
        <v>Yes</v>
      </c>
      <c r="N15" s="6" t="str">
        <f>"integration"</f>
        <v>integration</v>
      </c>
      <c r="O15" s="6" t="s">
        <v>362</v>
      </c>
      <c r="P15" s="6" t="s">
        <v>17</v>
      </c>
      <c r="Q15" s="6"/>
    </row>
    <row r="16" spans="1:17" s="1" customFormat="1" ht="120">
      <c r="A16" s="6" t="s">
        <v>410</v>
      </c>
      <c r="B16" s="6" t="str">
        <f>"Bristol Myers Squibb"</f>
        <v>Bristol Myers Squibb</v>
      </c>
      <c r="C16" s="6" t="s">
        <v>118</v>
      </c>
      <c r="D16" s="6" t="s">
        <v>119</v>
      </c>
      <c r="E16" s="6" t="str">
        <f>"Support"</f>
        <v>Support</v>
      </c>
      <c r="F16" s="6" t="s">
        <v>120</v>
      </c>
      <c r="G16" s="6" t="str">
        <f>"1-6094196545"</f>
        <v>1-6094196545</v>
      </c>
      <c r="H16" s="6" t="str">
        <f>"New Jersey"</f>
        <v>New Jersey</v>
      </c>
      <c r="I16" s="6" t="str">
        <f>"08854"</f>
        <v>08854</v>
      </c>
      <c r="J16" s="6" t="s">
        <v>408</v>
      </c>
      <c r="K16" s="6" t="s">
        <v>406</v>
      </c>
      <c r="L16" s="8" t="s">
        <v>20</v>
      </c>
      <c r="M16" s="6" t="str">
        <f>"No"</f>
        <v>No</v>
      </c>
      <c r="N16" s="6" t="str">
        <f>"NA"</f>
        <v>NA</v>
      </c>
      <c r="O16" s="6" t="s">
        <v>121</v>
      </c>
      <c r="P16" s="6" t="s">
        <v>18</v>
      </c>
      <c r="Q16" s="6" t="s">
        <v>381</v>
      </c>
    </row>
    <row r="17" spans="1:17" s="1" customFormat="1" ht="135">
      <c r="A17" s="6" t="s">
        <v>410</v>
      </c>
      <c r="B17" s="6" t="str">
        <f>"Broadview Networks Inc."</f>
        <v>Broadview Networks Inc.</v>
      </c>
      <c r="C17" s="6" t="s">
        <v>220</v>
      </c>
      <c r="D17" s="6" t="s">
        <v>221</v>
      </c>
      <c r="E17" s="6" t="str">
        <f>"Director IS"</f>
        <v>Director IS</v>
      </c>
      <c r="F17" s="6" t="s">
        <v>222</v>
      </c>
      <c r="G17" s="6" t="str">
        <f>"1-2124000789"</f>
        <v>1-2124000789</v>
      </c>
      <c r="H17" s="6" t="str">
        <f>"NY"</f>
        <v>NY</v>
      </c>
      <c r="I17" s="6" t="str">
        <f>"10573"</f>
        <v>10573</v>
      </c>
      <c r="J17" s="6" t="s">
        <v>408</v>
      </c>
      <c r="K17" s="6" t="s">
        <v>405</v>
      </c>
      <c r="L17" s="8" t="s">
        <v>58</v>
      </c>
      <c r="M17" s="6" t="str">
        <f>"Yes"</f>
        <v>Yes</v>
      </c>
      <c r="N17" s="6" t="str">
        <f>"coordinating changes with our business partners."</f>
        <v>coordinating changes with our business partners.</v>
      </c>
      <c r="O17" s="6" t="s">
        <v>223</v>
      </c>
      <c r="P17" s="6" t="s">
        <v>17</v>
      </c>
      <c r="Q17" s="6"/>
    </row>
    <row r="18" spans="1:17" s="1" customFormat="1" ht="120">
      <c r="A18" s="6" t="s">
        <v>410</v>
      </c>
      <c r="B18" s="6" t="str">
        <f>"CA"</f>
        <v>CA</v>
      </c>
      <c r="C18" s="6" t="s">
        <v>347</v>
      </c>
      <c r="D18" s="6" t="s">
        <v>348</v>
      </c>
      <c r="E18" s="6" t="str">
        <f>"Staff Engineer"</f>
        <v>Staff Engineer</v>
      </c>
      <c r="F18" s="6" t="s">
        <v>349</v>
      </c>
      <c r="G18" s="6" t="str">
        <f>"1-630-505-6175"</f>
        <v>1-630-505-6175</v>
      </c>
      <c r="H18" s="6" t="str">
        <f>"IL"</f>
        <v>IL</v>
      </c>
      <c r="I18" s="6" t="str">
        <f>"60173"</f>
        <v>60173</v>
      </c>
      <c r="J18" s="6" t="s">
        <v>408</v>
      </c>
      <c r="K18" s="6" t="s">
        <v>406</v>
      </c>
      <c r="L18" s="8" t="s">
        <v>20</v>
      </c>
      <c r="M18" s="6" t="str">
        <f>"Yes"</f>
        <v>Yes</v>
      </c>
      <c r="N18" s="6" t="str">
        <f>"Managing"</f>
        <v>Managing</v>
      </c>
      <c r="O18" s="6" t="s">
        <v>350</v>
      </c>
      <c r="P18" s="6" t="s">
        <v>18</v>
      </c>
      <c r="Q18" s="6" t="s">
        <v>13</v>
      </c>
    </row>
    <row r="19" spans="1:17" s="1" customFormat="1" ht="135">
      <c r="A19" s="6" t="s">
        <v>410</v>
      </c>
      <c r="B19" s="6" t="str">
        <f>"CGBS"</f>
        <v>CGBS</v>
      </c>
      <c r="C19" s="6" t="s">
        <v>54</v>
      </c>
      <c r="D19" s="6" t="s">
        <v>55</v>
      </c>
      <c r="E19" s="6" t="str">
        <f>"Mr"</f>
        <v>Mr</v>
      </c>
      <c r="F19" s="6" t="s">
        <v>56</v>
      </c>
      <c r="G19" s="6" t="str">
        <f>"91-61783364"</f>
        <v>91-61783364</v>
      </c>
      <c r="H19" s="6" t="str">
        <f>"Maharashtra"</f>
        <v>Maharashtra</v>
      </c>
      <c r="I19" s="6" t="str">
        <f>"40072"</f>
        <v>40072</v>
      </c>
      <c r="J19" s="6" t="s">
        <v>49</v>
      </c>
      <c r="K19" s="6" t="s">
        <v>405</v>
      </c>
      <c r="L19" s="8" t="s">
        <v>58</v>
      </c>
      <c r="M19" s="6" t="str">
        <f>"No"</f>
        <v>No</v>
      </c>
      <c r="N19" s="6" t="str">
        <f>"Do not have any such challenge as of now.."</f>
        <v>Do not have any such challenge as of now..</v>
      </c>
      <c r="O19" s="6" t="s">
        <v>57</v>
      </c>
      <c r="P19" s="6" t="s">
        <v>17</v>
      </c>
      <c r="Q19" s="6"/>
    </row>
    <row r="20" spans="1:17" s="1" customFormat="1" ht="135">
      <c r="A20" s="6" t="s">
        <v>410</v>
      </c>
      <c r="B20" s="6" t="str">
        <f>"Chevron"</f>
        <v>Chevron</v>
      </c>
      <c r="C20" s="6" t="s">
        <v>153</v>
      </c>
      <c r="D20" s="6" t="s">
        <v>154</v>
      </c>
      <c r="E20" s="6" t="str">
        <f>"Area Inspector"</f>
        <v>Area Inspector</v>
      </c>
      <c r="F20" s="6" t="s">
        <v>155</v>
      </c>
      <c r="G20" s="6" t="str">
        <f>"1-6612034236"</f>
        <v>1-6612034236</v>
      </c>
      <c r="H20" s="6" t="str">
        <f>"CA"</f>
        <v>CA</v>
      </c>
      <c r="I20" s="6" t="str">
        <f>"93314"</f>
        <v>93314</v>
      </c>
      <c r="J20" s="6" t="s">
        <v>408</v>
      </c>
      <c r="K20" s="6" t="s">
        <v>405</v>
      </c>
      <c r="L20" s="8" t="s">
        <v>20</v>
      </c>
      <c r="M20" s="6" t="str">
        <f>"No"</f>
        <v>No</v>
      </c>
      <c r="N20" s="6" t="str">
        <f>"Process Changes"</f>
        <v>Process Changes</v>
      </c>
      <c r="O20" s="6" t="s">
        <v>156</v>
      </c>
      <c r="P20" s="6" t="s">
        <v>17</v>
      </c>
      <c r="Q20" s="6"/>
    </row>
    <row r="21" spans="1:17" s="1" customFormat="1" ht="135">
      <c r="A21" s="6" t="s">
        <v>410</v>
      </c>
      <c r="B21" s="6" t="str">
        <f>"Chevron"</f>
        <v>Chevron</v>
      </c>
      <c r="C21" s="6" t="s">
        <v>14</v>
      </c>
      <c r="D21" s="6" t="s">
        <v>15</v>
      </c>
      <c r="E21" s="6" t="str">
        <f>"Business Analyst"</f>
        <v>Business Analyst</v>
      </c>
      <c r="F21" s="6" t="s">
        <v>16</v>
      </c>
      <c r="G21" s="6" t="str">
        <f>"1-925-842-5304"</f>
        <v>1-925-842-5304</v>
      </c>
      <c r="H21" s="6" t="str">
        <f>"Ca"</f>
        <v>Ca</v>
      </c>
      <c r="I21" s="6" t="str">
        <f>"94582"</f>
        <v>94582</v>
      </c>
      <c r="J21" s="6" t="s">
        <v>408</v>
      </c>
      <c r="K21" s="6" t="s">
        <v>405</v>
      </c>
      <c r="L21" s="8" t="s">
        <v>20</v>
      </c>
      <c r="M21" s="6" t="str">
        <f>"No"</f>
        <v>No</v>
      </c>
      <c r="N21" s="6" t="str">
        <f>"No Enterprise Standard"</f>
        <v>No Enterprise Standard</v>
      </c>
      <c r="O21" s="6" t="s">
        <v>19</v>
      </c>
      <c r="P21" s="6" t="s">
        <v>17</v>
      </c>
      <c r="Q21" s="6"/>
    </row>
    <row r="22" spans="1:17" s="1" customFormat="1" ht="135">
      <c r="A22" s="6" t="s">
        <v>410</v>
      </c>
      <c r="B22" s="6" t="str">
        <f>"Chevron"</f>
        <v>Chevron</v>
      </c>
      <c r="C22" s="6" t="s">
        <v>29</v>
      </c>
      <c r="D22" s="6" t="s">
        <v>30</v>
      </c>
      <c r="E22" s="6" t="str">
        <f>"Architect"</f>
        <v>Architect</v>
      </c>
      <c r="F22" s="6" t="s">
        <v>31</v>
      </c>
      <c r="G22" s="6" t="str">
        <f>"1-9258420729"</f>
        <v>1-9258420729</v>
      </c>
      <c r="H22" s="6" t="str">
        <f>"CA"</f>
        <v>CA</v>
      </c>
      <c r="I22" s="6" t="str">
        <f>"94583"</f>
        <v>94583</v>
      </c>
      <c r="J22" s="6" t="s">
        <v>408</v>
      </c>
      <c r="K22" s="6" t="s">
        <v>405</v>
      </c>
      <c r="L22" s="8" t="s">
        <v>20</v>
      </c>
      <c r="M22" s="6" t="str">
        <f>"Yes"</f>
        <v>Yes</v>
      </c>
      <c r="N22" s="6" t="str">
        <f>"a"</f>
        <v>a</v>
      </c>
      <c r="O22" s="6" t="s">
        <v>32</v>
      </c>
      <c r="P22" s="6" t="s">
        <v>17</v>
      </c>
      <c r="Q22" s="6"/>
    </row>
    <row r="23" spans="1:17" s="1" customFormat="1" ht="135">
      <c r="A23" s="6" t="s">
        <v>410</v>
      </c>
      <c r="B23" s="6" t="str">
        <f>"Chevron"</f>
        <v>Chevron</v>
      </c>
      <c r="C23" s="6" t="s">
        <v>33</v>
      </c>
      <c r="D23" s="6" t="s">
        <v>34</v>
      </c>
      <c r="E23" s="6" t="str">
        <f>"Enterprise Architect"</f>
        <v>Enterprise Architect</v>
      </c>
      <c r="F23" s="6" t="s">
        <v>35</v>
      </c>
      <c r="G23" s="6" t="str">
        <f>"1-9258423794"</f>
        <v>1-9258423794</v>
      </c>
      <c r="H23" s="6" t="str">
        <f>"California"</f>
        <v>California</v>
      </c>
      <c r="I23" s="6" t="str">
        <f>"94583"</f>
        <v>94583</v>
      </c>
      <c r="J23" s="6" t="s">
        <v>408</v>
      </c>
      <c r="K23" s="6" t="s">
        <v>405</v>
      </c>
      <c r="L23" s="8" t="s">
        <v>20</v>
      </c>
      <c r="M23" s="6" t="str">
        <f>"Yes"</f>
        <v>Yes</v>
      </c>
      <c r="N23" s="6" t="str">
        <f>"Not in a position to share"</f>
        <v>Not in a position to share</v>
      </c>
      <c r="O23" s="6" t="s">
        <v>36</v>
      </c>
      <c r="P23" s="6" t="s">
        <v>17</v>
      </c>
      <c r="Q23" s="6"/>
    </row>
    <row r="24" spans="1:17" s="1" customFormat="1" ht="135">
      <c r="A24" s="6" t="s">
        <v>410</v>
      </c>
      <c r="B24" s="6" t="str">
        <f>"Chevron"</f>
        <v>Chevron</v>
      </c>
      <c r="C24" s="6" t="s">
        <v>130</v>
      </c>
      <c r="D24" s="6" t="s">
        <v>131</v>
      </c>
      <c r="E24" s="6" t="str">
        <f>"SUPERVISOR"</f>
        <v>SUPERVISOR</v>
      </c>
      <c r="F24" s="6" t="s">
        <v>132</v>
      </c>
      <c r="G24" s="6" t="str">
        <f>"1-925-842-9129"</f>
        <v>1-925-842-9129</v>
      </c>
      <c r="H24" s="6" t="str">
        <f>"CA"</f>
        <v>CA</v>
      </c>
      <c r="I24" s="6" t="str">
        <f>"94583"</f>
        <v>94583</v>
      </c>
      <c r="J24" s="6" t="s">
        <v>408</v>
      </c>
      <c r="K24" s="6" t="s">
        <v>405</v>
      </c>
      <c r="L24" s="8" t="s">
        <v>20</v>
      </c>
      <c r="M24" s="6" t="str">
        <f>"Yes"</f>
        <v>Yes</v>
      </c>
      <c r="N24" s="6" t="str">
        <f>"LIFECYCLE MANAGEMENT OF API"</f>
        <v>LIFECYCLE MANAGEMENT OF API</v>
      </c>
      <c r="O24" s="6" t="s">
        <v>133</v>
      </c>
      <c r="P24" s="6" t="s">
        <v>17</v>
      </c>
      <c r="Q24" s="6"/>
    </row>
    <row r="25" spans="1:17" s="1" customFormat="1" ht="135">
      <c r="A25" s="6" t="s">
        <v>410</v>
      </c>
      <c r="B25" s="6" t="str">
        <f>"Cognizant"</f>
        <v>Cognizant</v>
      </c>
      <c r="C25" s="6" t="s">
        <v>197</v>
      </c>
      <c r="D25" s="6" t="s">
        <v>198</v>
      </c>
      <c r="E25" s="6" t="str">
        <f>"Mr"</f>
        <v>Mr</v>
      </c>
      <c r="F25" s="6" t="s">
        <v>199</v>
      </c>
      <c r="G25" s="6" t="str">
        <f>"1-9665452222"</f>
        <v>1-9665452222</v>
      </c>
      <c r="H25" s="6" t="str">
        <f>"MH"</f>
        <v>MH</v>
      </c>
      <c r="I25" s="6" t="str">
        <f>"411021"</f>
        <v>411021</v>
      </c>
      <c r="J25" s="6" t="s">
        <v>49</v>
      </c>
      <c r="K25" s="6" t="s">
        <v>405</v>
      </c>
      <c r="L25" s="8" t="s">
        <v>20</v>
      </c>
      <c r="M25" s="6" t="str">
        <f>"Yes"</f>
        <v>Yes</v>
      </c>
      <c r="N25" s="6" t="str">
        <f>"Service Provider"</f>
        <v>Service Provider</v>
      </c>
      <c r="O25" s="6" t="s">
        <v>200</v>
      </c>
      <c r="P25" s="6" t="s">
        <v>17</v>
      </c>
      <c r="Q25" s="6"/>
    </row>
    <row r="26" spans="1:17" s="1" customFormat="1" ht="135">
      <c r="A26" s="6" t="s">
        <v>410</v>
      </c>
      <c r="B26" s="6" t="str">
        <f>"Colgate Global Business Services"</f>
        <v>Colgate Global Business Services</v>
      </c>
      <c r="C26" s="6" t="s">
        <v>169</v>
      </c>
      <c r="D26" s="6" t="s">
        <v>170</v>
      </c>
      <c r="E26" s="6" t="str">
        <f>""""""</f>
        <v>""</v>
      </c>
      <c r="F26" s="6" t="s">
        <v>171</v>
      </c>
      <c r="G26" s="6" t="str">
        <f>"91-9819193320"</f>
        <v>91-9819193320</v>
      </c>
      <c r="H26" s="6" t="str">
        <f>"Maharashtra"</f>
        <v>Maharashtra</v>
      </c>
      <c r="I26" s="6" t="str">
        <f>"400070"</f>
        <v>400070</v>
      </c>
      <c r="J26" s="6" t="s">
        <v>49</v>
      </c>
      <c r="K26" s="6" t="s">
        <v>405</v>
      </c>
      <c r="L26" s="8" t="s">
        <v>63</v>
      </c>
      <c r="M26" s="6" t="str">
        <f>"No"</f>
        <v>No</v>
      </c>
      <c r="N26" s="6" t="str">
        <f>""""""</f>
        <v>""</v>
      </c>
      <c r="O26" s="6" t="s">
        <v>172</v>
      </c>
      <c r="P26" s="6" t="s">
        <v>17</v>
      </c>
      <c r="Q26" s="6"/>
    </row>
    <row r="27" spans="1:17" s="1" customFormat="1" ht="135">
      <c r="A27" s="6" t="s">
        <v>410</v>
      </c>
      <c r="B27" s="6" t="str">
        <f>"Colgate-Palmolive"</f>
        <v>Colgate-Palmolive</v>
      </c>
      <c r="C27" s="6" t="s">
        <v>68</v>
      </c>
      <c r="D27" s="6" t="s">
        <v>69</v>
      </c>
      <c r="E27" s="6" t="str">
        <f>"Mr"</f>
        <v>Mr</v>
      </c>
      <c r="F27" s="6" t="s">
        <v>70</v>
      </c>
      <c r="G27" s="6" t="str">
        <f>"55-11 50885379"</f>
        <v>55-11 50885379</v>
      </c>
      <c r="H27" s="6" t="str">
        <f>"São Paulo"</f>
        <v>São Paulo</v>
      </c>
      <c r="I27" s="6" t="str">
        <f>"000000"</f>
        <v>000000</v>
      </c>
      <c r="J27" s="6" t="s">
        <v>72</v>
      </c>
      <c r="K27" s="6" t="s">
        <v>405</v>
      </c>
      <c r="L27" s="8" t="s">
        <v>20</v>
      </c>
      <c r="M27" s="6" t="str">
        <f>"Yes"</f>
        <v>Yes</v>
      </c>
      <c r="N27" s="6" t="str">
        <f>"N/A"</f>
        <v>N/A</v>
      </c>
      <c r="O27" s="6" t="s">
        <v>71</v>
      </c>
      <c r="P27" s="6" t="s">
        <v>17</v>
      </c>
      <c r="Q27" s="6"/>
    </row>
    <row r="28" spans="1:17" s="1" customFormat="1" ht="135">
      <c r="A28" s="6" t="s">
        <v>410</v>
      </c>
      <c r="B28" s="6" t="str">
        <f>"Colgate-Palmolive"</f>
        <v>Colgate-Palmolive</v>
      </c>
      <c r="C28" s="6" t="s">
        <v>138</v>
      </c>
      <c r="D28" s="6" t="s">
        <v>139</v>
      </c>
      <c r="E28" s="6" t="str">
        <f>"Business Process Analyst"</f>
        <v>Business Process Analyst</v>
      </c>
      <c r="F28" s="6" t="s">
        <v>140</v>
      </c>
      <c r="G28" s="6" t="str">
        <f>"1-973-630-1422"</f>
        <v>1-973-630-1422</v>
      </c>
      <c r="H28" s="6" t="str">
        <f>"NJ"</f>
        <v>NJ</v>
      </c>
      <c r="I28" s="6" t="str">
        <f>"07962"</f>
        <v>07962</v>
      </c>
      <c r="J28" s="6" t="s">
        <v>408</v>
      </c>
      <c r="K28" s="6" t="s">
        <v>405</v>
      </c>
      <c r="L28" s="8" t="s">
        <v>20</v>
      </c>
      <c r="M28" s="6" t="str">
        <f>"Yes"</f>
        <v>Yes</v>
      </c>
      <c r="N28" s="6" t="str">
        <f>"not sure...."</f>
        <v>not sure....</v>
      </c>
      <c r="O28" s="6" t="s">
        <v>141</v>
      </c>
      <c r="P28" s="6" t="s">
        <v>17</v>
      </c>
      <c r="Q28" s="6"/>
    </row>
    <row r="29" spans="1:17" s="1" customFormat="1" ht="135">
      <c r="A29" s="6" t="s">
        <v>410</v>
      </c>
      <c r="B29" s="6" t="str">
        <f>"Colgate-polmolive"</f>
        <v>Colgate-polmolive</v>
      </c>
      <c r="C29" s="6" t="s">
        <v>165</v>
      </c>
      <c r="D29" s="6" t="s">
        <v>166</v>
      </c>
      <c r="E29" s="6" t="str">
        <f>"Mr"</f>
        <v>Mr</v>
      </c>
      <c r="F29" s="6" t="s">
        <v>167</v>
      </c>
      <c r="G29" s="6" t="str">
        <f>"91-22 61783267"</f>
        <v>91-22 61783267</v>
      </c>
      <c r="H29" s="6" t="str">
        <f>"Maharastra"</f>
        <v>Maharastra</v>
      </c>
      <c r="I29" s="6" t="str">
        <f>"500072"</f>
        <v>500072</v>
      </c>
      <c r="J29" s="6" t="s">
        <v>49</v>
      </c>
      <c r="K29" s="6" t="s">
        <v>405</v>
      </c>
      <c r="L29" s="8" t="s">
        <v>58</v>
      </c>
      <c r="M29" s="6" t="str">
        <f>"No"</f>
        <v>No</v>
      </c>
      <c r="N29" s="6" t="str">
        <f>"NA"</f>
        <v>NA</v>
      </c>
      <c r="O29" s="6" t="s">
        <v>168</v>
      </c>
      <c r="P29" s="6" t="s">
        <v>17</v>
      </c>
      <c r="Q29" s="6"/>
    </row>
    <row r="30" spans="1:17" s="1" customFormat="1" ht="135">
      <c r="A30" s="6" t="s">
        <v>410</v>
      </c>
      <c r="B30" s="6" t="str">
        <f>"Dell"</f>
        <v>Dell</v>
      </c>
      <c r="C30" s="6" t="s">
        <v>205</v>
      </c>
      <c r="D30" s="6" t="s">
        <v>206</v>
      </c>
      <c r="E30" s="6" t="str">
        <f>"Enterprise Architect"</f>
        <v>Enterprise Architect</v>
      </c>
      <c r="F30" s="6" t="s">
        <v>207</v>
      </c>
      <c r="G30" s="6" t="str">
        <f>"1-5127230293"</f>
        <v>1-5127230293</v>
      </c>
      <c r="H30" s="6" t="str">
        <f>"TX"</f>
        <v>TX</v>
      </c>
      <c r="I30" s="6" t="str">
        <f>"78682"</f>
        <v>78682</v>
      </c>
      <c r="J30" s="6" t="s">
        <v>408</v>
      </c>
      <c r="K30" s="6" t="s">
        <v>405</v>
      </c>
      <c r="L30" s="8" t="s">
        <v>20</v>
      </c>
      <c r="M30" s="6" t="str">
        <f>"Yes"</f>
        <v>Yes</v>
      </c>
      <c r="N30" s="6" t="str">
        <f>"."</f>
        <v>.</v>
      </c>
      <c r="O30" s="6" t="s">
        <v>44</v>
      </c>
      <c r="P30" s="6" t="s">
        <v>17</v>
      </c>
      <c r="Q30" s="6"/>
    </row>
    <row r="31" spans="1:17" s="1" customFormat="1" ht="120">
      <c r="A31" s="6" t="s">
        <v>410</v>
      </c>
      <c r="B31" s="6" t="str">
        <f>"Dell Inc."</f>
        <v>Dell Inc.</v>
      </c>
      <c r="C31" s="6" t="s">
        <v>85</v>
      </c>
      <c r="D31" s="6" t="s">
        <v>236</v>
      </c>
      <c r="E31" s="6" t="str">
        <f>"Enterprise Architect"</f>
        <v>Enterprise Architect</v>
      </c>
      <c r="F31" s="6" t="s">
        <v>237</v>
      </c>
      <c r="G31" s="6" t="str">
        <f>"1-512-728-7467"</f>
        <v>1-512-728-7467</v>
      </c>
      <c r="H31" s="6" t="str">
        <f>"TX"</f>
        <v>TX</v>
      </c>
      <c r="I31" s="6" t="str">
        <f>"78682"</f>
        <v>78682</v>
      </c>
      <c r="J31" s="6" t="s">
        <v>408</v>
      </c>
      <c r="K31" s="6" t="s">
        <v>406</v>
      </c>
      <c r="L31" s="8" t="s">
        <v>20</v>
      </c>
      <c r="M31" s="6" t="str">
        <f>"Yes"</f>
        <v>Yes</v>
      </c>
      <c r="N31" s="6" t="str">
        <f>"Governance"</f>
        <v>Governance</v>
      </c>
      <c r="O31" s="6" t="s">
        <v>238</v>
      </c>
      <c r="P31" s="6" t="s">
        <v>18</v>
      </c>
      <c r="Q31" s="6" t="s">
        <v>391</v>
      </c>
    </row>
    <row r="32" spans="1:17" s="1" customFormat="1" ht="120">
      <c r="A32" s="6" t="s">
        <v>410</v>
      </c>
      <c r="B32" s="6" t="str">
        <f>"Duke Energy"</f>
        <v>Duke Energy</v>
      </c>
      <c r="C32" s="6" t="s">
        <v>343</v>
      </c>
      <c r="D32" s="6" t="s">
        <v>344</v>
      </c>
      <c r="E32" s="6" t="str">
        <f>"Architect"</f>
        <v>Architect</v>
      </c>
      <c r="F32" s="6" t="s">
        <v>345</v>
      </c>
      <c r="G32" s="6" t="str">
        <f>"1-9195211085"</f>
        <v>1-9195211085</v>
      </c>
      <c r="H32" s="6" t="str">
        <f>"nc"</f>
        <v>nc</v>
      </c>
      <c r="I32" s="6" t="str">
        <f>"27518"</f>
        <v>27518</v>
      </c>
      <c r="J32" s="6" t="s">
        <v>408</v>
      </c>
      <c r="K32" s="6" t="s">
        <v>406</v>
      </c>
      <c r="L32" s="8" t="s">
        <v>20</v>
      </c>
      <c r="M32" s="6" t="str">
        <f>"Yes"</f>
        <v>Yes</v>
      </c>
      <c r="N32" s="6" t="str">
        <f>"n/a"</f>
        <v>n/a</v>
      </c>
      <c r="O32" s="6" t="s">
        <v>346</v>
      </c>
      <c r="P32" s="6" t="s">
        <v>18</v>
      </c>
      <c r="Q32" s="6" t="s">
        <v>394</v>
      </c>
    </row>
    <row r="33" spans="1:17" s="1" customFormat="1" ht="120">
      <c r="A33" s="6" t="s">
        <v>410</v>
      </c>
      <c r="B33" s="6" t="str">
        <f>"Duke Energy"</f>
        <v>Duke Energy</v>
      </c>
      <c r="C33" s="6" t="s">
        <v>351</v>
      </c>
      <c r="D33" s="6" t="s">
        <v>352</v>
      </c>
      <c r="E33" s="6" t="str">
        <f>"IT Architect"</f>
        <v>IT Architect</v>
      </c>
      <c r="F33" s="6" t="s">
        <v>353</v>
      </c>
      <c r="G33" s="6" t="str">
        <f>"1-919-546-4839"</f>
        <v>1-919-546-4839</v>
      </c>
      <c r="H33" s="6" t="str">
        <f>"NC"</f>
        <v>NC</v>
      </c>
      <c r="I33" s="6" t="str">
        <f>"27616"</f>
        <v>27616</v>
      </c>
      <c r="J33" s="6" t="s">
        <v>408</v>
      </c>
      <c r="K33" s="6" t="s">
        <v>406</v>
      </c>
      <c r="L33" s="8" t="s">
        <v>20</v>
      </c>
      <c r="M33" s="6" t="str">
        <f>"Yes"</f>
        <v>Yes</v>
      </c>
      <c r="N33" s="6" t="str">
        <f>"Trying to consolidate API management as best possible."</f>
        <v>Trying to consolidate API management as best possible.</v>
      </c>
      <c r="O33" s="6" t="s">
        <v>354</v>
      </c>
      <c r="P33" s="6" t="s">
        <v>18</v>
      </c>
      <c r="Q33" s="6" t="s">
        <v>380</v>
      </c>
    </row>
    <row r="34" spans="1:17" s="1" customFormat="1" ht="120">
      <c r="A34" s="6" t="s">
        <v>410</v>
      </c>
      <c r="B34" s="6" t="str">
        <f>"Enterprise Decisions LLC"</f>
        <v>Enterprise Decisions LLC</v>
      </c>
      <c r="C34" s="6" t="s">
        <v>97</v>
      </c>
      <c r="D34" s="6" t="s">
        <v>98</v>
      </c>
      <c r="E34" s="6" t="str">
        <f>"owner"</f>
        <v>owner</v>
      </c>
      <c r="F34" s="6" t="s">
        <v>99</v>
      </c>
      <c r="G34" s="6" t="str">
        <f>"1-5125772170"</f>
        <v>1-5125772170</v>
      </c>
      <c r="H34" s="6" t="str">
        <f>"TX"</f>
        <v>TX</v>
      </c>
      <c r="I34" s="6" t="str">
        <f>"78721"</f>
        <v>78721</v>
      </c>
      <c r="J34" s="6" t="s">
        <v>408</v>
      </c>
      <c r="K34" s="6" t="s">
        <v>406</v>
      </c>
      <c r="L34" s="7" t="s">
        <v>402</v>
      </c>
      <c r="M34" s="6" t="str">
        <f>"No"</f>
        <v>No</v>
      </c>
      <c r="N34" s="6" t="str">
        <f>"none"</f>
        <v>none</v>
      </c>
      <c r="O34" s="6" t="s">
        <v>100</v>
      </c>
      <c r="P34" s="6" t="s">
        <v>18</v>
      </c>
      <c r="Q34" s="6" t="s">
        <v>390</v>
      </c>
    </row>
    <row r="35" spans="1:17" s="1" customFormat="1" ht="135">
      <c r="A35" s="6" t="s">
        <v>410</v>
      </c>
      <c r="B35" s="6" t="str">
        <f>"Estes Express"</f>
        <v>Estes Express</v>
      </c>
      <c r="C35" s="6" t="s">
        <v>375</v>
      </c>
      <c r="D35" s="6" t="s">
        <v>376</v>
      </c>
      <c r="E35" s="6" t="str">
        <f>"Third party Applications"</f>
        <v>Third party Applications</v>
      </c>
      <c r="F35" s="6" t="s">
        <v>377</v>
      </c>
      <c r="G35" s="6" t="str">
        <f>"1-804-353-1900"</f>
        <v>1-804-353-1900</v>
      </c>
      <c r="H35" s="6" t="str">
        <f>"Virginia"</f>
        <v>Virginia</v>
      </c>
      <c r="I35" s="6" t="str">
        <f>"232"</f>
        <v>232</v>
      </c>
      <c r="J35" s="6" t="s">
        <v>408</v>
      </c>
      <c r="K35" s="6" t="s">
        <v>405</v>
      </c>
      <c r="L35" s="8" t="s">
        <v>58</v>
      </c>
      <c r="M35" s="6" t="str">
        <f>"No"</f>
        <v>No</v>
      </c>
      <c r="N35" s="6" t="str">
        <f>"API"</f>
        <v>API</v>
      </c>
      <c r="O35" s="6" t="s">
        <v>378</v>
      </c>
      <c r="P35" s="6" t="s">
        <v>17</v>
      </c>
      <c r="Q35" s="6"/>
    </row>
    <row r="36" spans="1:17" s="1" customFormat="1" ht="120">
      <c r="A36" s="6" t="s">
        <v>410</v>
      </c>
      <c r="B36" s="6" t="str">
        <f>"Estes Express Line"</f>
        <v>Estes Express Line</v>
      </c>
      <c r="C36" s="6" t="s">
        <v>300</v>
      </c>
      <c r="D36" s="6" t="s">
        <v>301</v>
      </c>
      <c r="E36" s="6" t="str">
        <f>"Sr. Developer"</f>
        <v>Sr. Developer</v>
      </c>
      <c r="F36" s="6" t="s">
        <v>302</v>
      </c>
      <c r="G36" s="6" t="str">
        <f>"1-8043531900"</f>
        <v>1-8043531900</v>
      </c>
      <c r="H36" s="6" t="str">
        <f>"VA"</f>
        <v>VA</v>
      </c>
      <c r="I36" s="6" t="str">
        <f>"23230"</f>
        <v>23230</v>
      </c>
      <c r="J36" s="6" t="s">
        <v>408</v>
      </c>
      <c r="K36" s="6" t="s">
        <v>406</v>
      </c>
      <c r="L36" s="8" t="s">
        <v>20</v>
      </c>
      <c r="M36" s="6" t="str">
        <f>"No"</f>
        <v>No</v>
      </c>
      <c r="N36" s="6" t="str">
        <f>"No plan"</f>
        <v>No plan</v>
      </c>
      <c r="O36" s="6" t="s">
        <v>303</v>
      </c>
      <c r="P36" s="6" t="s">
        <v>18</v>
      </c>
      <c r="Q36" s="6" t="s">
        <v>393</v>
      </c>
    </row>
    <row r="37" spans="1:17" s="1" customFormat="1" ht="135">
      <c r="A37" s="6" t="s">
        <v>410</v>
      </c>
      <c r="B37" s="6" t="str">
        <f>"Estes Express Lines"</f>
        <v>Estes Express Lines</v>
      </c>
      <c r="C37" s="6" t="s">
        <v>336</v>
      </c>
      <c r="D37" s="6" t="s">
        <v>337</v>
      </c>
      <c r="E37" s="6" t="str">
        <f>"Enterprise Application Support Specialist"</f>
        <v>Enterprise Application Support Specialist</v>
      </c>
      <c r="F37" s="6" t="s">
        <v>338</v>
      </c>
      <c r="G37" s="6" t="str">
        <f>"1-804-353-1900"</f>
        <v>1-804-353-1900</v>
      </c>
      <c r="H37" s="6" t="str">
        <f>"Virginia"</f>
        <v>Virginia</v>
      </c>
      <c r="I37" s="6" t="str">
        <f>"23220"</f>
        <v>23220</v>
      </c>
      <c r="J37" s="6" t="s">
        <v>408</v>
      </c>
      <c r="K37" s="6" t="s">
        <v>405</v>
      </c>
      <c r="L37" s="8" t="s">
        <v>20</v>
      </c>
      <c r="M37" s="6" t="str">
        <f>"No"</f>
        <v>No</v>
      </c>
      <c r="N37" s="6" t="str">
        <f>"ongoing webMethods Implementation"</f>
        <v>ongoing webMethods Implementation</v>
      </c>
      <c r="O37" s="6" t="s">
        <v>339</v>
      </c>
      <c r="P37" s="6" t="s">
        <v>17</v>
      </c>
      <c r="Q37" s="6"/>
    </row>
    <row r="38" spans="1:17" s="1" customFormat="1" ht="135">
      <c r="A38" s="6" t="s">
        <v>410</v>
      </c>
      <c r="B38" s="6" t="str">
        <f>"Fiserv"</f>
        <v>Fiserv</v>
      </c>
      <c r="C38" s="6" t="s">
        <v>363</v>
      </c>
      <c r="D38" s="6" t="s">
        <v>364</v>
      </c>
      <c r="E38" s="6" t="str">
        <f>"Architect"</f>
        <v>Architect</v>
      </c>
      <c r="F38" s="6" t="s">
        <v>365</v>
      </c>
      <c r="G38" s="6" t="str">
        <f>"1-6783753716"</f>
        <v>1-6783753716</v>
      </c>
      <c r="H38" s="6" t="str">
        <f>"GA"</f>
        <v>GA</v>
      </c>
      <c r="I38" s="6" t="str">
        <f>"30041"</f>
        <v>30041</v>
      </c>
      <c r="J38" s="6" t="s">
        <v>408</v>
      </c>
      <c r="K38" s="6" t="s">
        <v>405</v>
      </c>
      <c r="L38" s="8" t="s">
        <v>20</v>
      </c>
      <c r="M38" s="6" t="str">
        <f>"No"</f>
        <v>No</v>
      </c>
      <c r="N38" s="6" t="str">
        <f>"Defining schemas by subscriber"</f>
        <v>Defining schemas by subscriber</v>
      </c>
      <c r="O38" s="6" t="s">
        <v>366</v>
      </c>
      <c r="P38" s="6" t="s">
        <v>17</v>
      </c>
      <c r="Q38" s="6"/>
    </row>
    <row r="39" spans="1:17" s="1" customFormat="1" ht="135">
      <c r="A39" s="6" t="s">
        <v>410</v>
      </c>
      <c r="B39" s="6" t="str">
        <f>"General Motors"</f>
        <v>General Motors</v>
      </c>
      <c r="C39" s="6" t="s">
        <v>252</v>
      </c>
      <c r="D39" s="6" t="s">
        <v>253</v>
      </c>
      <c r="E39" s="6" t="str">
        <f>"Tools Engineer"</f>
        <v>Tools Engineer</v>
      </c>
      <c r="F39" s="6" t="s">
        <v>254</v>
      </c>
      <c r="G39" s="6" t="str">
        <f>"1-7702124464"</f>
        <v>1-7702124464</v>
      </c>
      <c r="H39" s="6" t="str">
        <f>"Ga"</f>
        <v>Ga</v>
      </c>
      <c r="I39" s="6" t="str">
        <f>"30305"</f>
        <v>30305</v>
      </c>
      <c r="J39" s="6" t="s">
        <v>408</v>
      </c>
      <c r="K39" s="6" t="s">
        <v>405</v>
      </c>
      <c r="L39" s="8" t="s">
        <v>20</v>
      </c>
      <c r="M39" s="6" t="str">
        <f>"No"</f>
        <v>No</v>
      </c>
      <c r="N39" s="6" t="str">
        <f>"Registration"</f>
        <v>Registration</v>
      </c>
      <c r="O39" s="6" t="s">
        <v>255</v>
      </c>
      <c r="P39" s="6" t="s">
        <v>17</v>
      </c>
      <c r="Q39" s="6"/>
    </row>
    <row r="40" spans="1:17" s="1" customFormat="1" ht="135">
      <c r="A40" s="6" t="s">
        <v>410</v>
      </c>
      <c r="B40" s="6" t="str">
        <f>"Genworth"</f>
        <v>Genworth</v>
      </c>
      <c r="C40" s="6" t="s">
        <v>283</v>
      </c>
      <c r="D40" s="6" t="s">
        <v>284</v>
      </c>
      <c r="E40" s="6" t="str">
        <f>"Lead Data Scientist"</f>
        <v>Lead Data Scientist</v>
      </c>
      <c r="F40" s="6" t="s">
        <v>285</v>
      </c>
      <c r="G40" s="6" t="str">
        <f>"1-8049225685"</f>
        <v>1-8049225685</v>
      </c>
      <c r="H40" s="6" t="str">
        <f>"VA"</f>
        <v>VA</v>
      </c>
      <c r="I40" s="6" t="str">
        <f>"23230"</f>
        <v>23230</v>
      </c>
      <c r="J40" s="6" t="s">
        <v>408</v>
      </c>
      <c r="K40" s="6" t="s">
        <v>405</v>
      </c>
      <c r="L40" s="8" t="s">
        <v>20</v>
      </c>
      <c r="M40" s="6" t="str">
        <f>"No"</f>
        <v>No</v>
      </c>
      <c r="N40" s="6" t="str">
        <f>"API Management."</f>
        <v>API Management.</v>
      </c>
      <c r="O40" s="6" t="s">
        <v>286</v>
      </c>
      <c r="P40" s="6" t="s">
        <v>17</v>
      </c>
      <c r="Q40" s="6"/>
    </row>
    <row r="41" spans="1:17" s="1" customFormat="1" ht="135">
      <c r="A41" s="6" t="s">
        <v>410</v>
      </c>
      <c r="B41" s="6" t="str">
        <f>"Genworth Financial"</f>
        <v>Genworth Financial</v>
      </c>
      <c r="C41" s="6" t="s">
        <v>64</v>
      </c>
      <c r="D41" s="6" t="s">
        <v>65</v>
      </c>
      <c r="E41" s="6" t="str">
        <f>"Architect"</f>
        <v>Architect</v>
      </c>
      <c r="F41" s="6" t="s">
        <v>66</v>
      </c>
      <c r="G41" s="6" t="str">
        <f>"1-919-846-3027"</f>
        <v>1-919-846-3027</v>
      </c>
      <c r="H41" s="6" t="str">
        <f>"NC"</f>
        <v>NC</v>
      </c>
      <c r="I41" s="6" t="str">
        <f>"27615"</f>
        <v>27615</v>
      </c>
      <c r="J41" s="6" t="s">
        <v>408</v>
      </c>
      <c r="K41" s="6" t="s">
        <v>405</v>
      </c>
      <c r="L41" s="8" t="s">
        <v>20</v>
      </c>
      <c r="M41" s="6" t="str">
        <f>"Yes"</f>
        <v>Yes</v>
      </c>
      <c r="N41" s="6" t="str">
        <f>"Security/API Keys, Governance, and Documentation"</f>
        <v>Security/API Keys, Governance, and Documentation</v>
      </c>
      <c r="O41" s="6" t="s">
        <v>67</v>
      </c>
      <c r="P41" s="6" t="s">
        <v>17</v>
      </c>
      <c r="Q41" s="6"/>
    </row>
    <row r="42" spans="1:17" s="1" customFormat="1" ht="135">
      <c r="A42" s="6" t="s">
        <v>410</v>
      </c>
      <c r="B42" s="6" t="str">
        <f>"GM"</f>
        <v>GM</v>
      </c>
      <c r="C42" s="6" t="s">
        <v>126</v>
      </c>
      <c r="D42" s="6" t="s">
        <v>127</v>
      </c>
      <c r="E42" s="6" t="str">
        <f>"IT Dev Manager"</f>
        <v>IT Dev Manager</v>
      </c>
      <c r="F42" s="6" t="s">
        <v>128</v>
      </c>
      <c r="G42" s="6" t="str">
        <f>"1-3134189646"</f>
        <v>1-3134189646</v>
      </c>
      <c r="H42" s="6" t="str">
        <f>"MI"</f>
        <v>MI</v>
      </c>
      <c r="I42" s="6" t="str">
        <f>"48322"</f>
        <v>48322</v>
      </c>
      <c r="J42" s="6" t="s">
        <v>408</v>
      </c>
      <c r="K42" s="6" t="s">
        <v>405</v>
      </c>
      <c r="L42" s="8" t="s">
        <v>20</v>
      </c>
      <c r="M42" s="6" t="str">
        <f>"No"</f>
        <v>No</v>
      </c>
      <c r="N42" s="6" t="str">
        <f>"Attending to just understand"</f>
        <v>Attending to just understand</v>
      </c>
      <c r="O42" s="6" t="s">
        <v>129</v>
      </c>
      <c r="P42" s="6" t="s">
        <v>17</v>
      </c>
      <c r="Q42" s="6"/>
    </row>
    <row r="43" spans="1:17" s="1" customFormat="1" ht="135">
      <c r="A43" s="6" t="s">
        <v>410</v>
      </c>
      <c r="B43" s="6" t="str">
        <f>"Grainger"</f>
        <v>Grainger</v>
      </c>
      <c r="C43" s="6" t="s">
        <v>367</v>
      </c>
      <c r="D43" s="6" t="s">
        <v>368</v>
      </c>
      <c r="E43" s="6" t="str">
        <f>"BSA"</f>
        <v>BSA</v>
      </c>
      <c r="F43" s="6" t="s">
        <v>369</v>
      </c>
      <c r="G43" s="6" t="str">
        <f>"1-847-535-0792"</f>
        <v>1-847-535-0792</v>
      </c>
      <c r="H43" s="6" t="str">
        <f>"IL"</f>
        <v>IL</v>
      </c>
      <c r="I43" s="6" t="str">
        <f>"60045"</f>
        <v>60045</v>
      </c>
      <c r="J43" s="6" t="s">
        <v>408</v>
      </c>
      <c r="K43" s="6" t="s">
        <v>405</v>
      </c>
      <c r="L43" s="8" t="s">
        <v>20</v>
      </c>
      <c r="M43" s="6" t="str">
        <f>"Yes"</f>
        <v>Yes</v>
      </c>
      <c r="N43" s="6" t="str">
        <f>"API life cycle management"</f>
        <v>API life cycle management</v>
      </c>
      <c r="O43" s="6" t="s">
        <v>370</v>
      </c>
      <c r="P43" s="6" t="s">
        <v>17</v>
      </c>
      <c r="Q43" s="6"/>
    </row>
    <row r="44" spans="1:17" s="1" customFormat="1" ht="135">
      <c r="A44" s="6" t="s">
        <v>410</v>
      </c>
      <c r="B44" s="6" t="str">
        <f>"haygroup"</f>
        <v>haygroup</v>
      </c>
      <c r="C44" s="6" t="s">
        <v>316</v>
      </c>
      <c r="D44" s="6" t="s">
        <v>317</v>
      </c>
      <c r="E44" s="6" t="str">
        <f>"senior applicaiton devloper"</f>
        <v>senior applicaiton devloper</v>
      </c>
      <c r="F44" s="6" t="s">
        <v>318</v>
      </c>
      <c r="G44" s="6" t="str">
        <f>"1-2152612656"</f>
        <v>1-2152612656</v>
      </c>
      <c r="H44" s="6" t="str">
        <f>"pa"</f>
        <v>pa</v>
      </c>
      <c r="I44" s="6" t="str">
        <f>"19103"</f>
        <v>19103</v>
      </c>
      <c r="J44" s="6" t="s">
        <v>408</v>
      </c>
      <c r="K44" s="6" t="s">
        <v>405</v>
      </c>
      <c r="L44" s="8" t="s">
        <v>20</v>
      </c>
      <c r="M44" s="6" t="str">
        <f>"Yes"</f>
        <v>Yes</v>
      </c>
      <c r="N44" s="6" t="str">
        <f>"secuiry"</f>
        <v>secuiry</v>
      </c>
      <c r="O44" s="6" t="s">
        <v>319</v>
      </c>
      <c r="P44" s="6" t="s">
        <v>17</v>
      </c>
      <c r="Q44" s="6"/>
    </row>
    <row r="45" spans="1:17" s="1" customFormat="1" ht="120">
      <c r="A45" s="6" t="s">
        <v>410</v>
      </c>
      <c r="B45" s="6" t="str">
        <f>"Haygroup"</f>
        <v>Haygroup</v>
      </c>
      <c r="C45" s="6" t="s">
        <v>287</v>
      </c>
      <c r="D45" s="6" t="s">
        <v>288</v>
      </c>
      <c r="E45" s="6" t="str">
        <f>"Application Developer III"</f>
        <v>Application Developer III</v>
      </c>
      <c r="F45" s="6" t="s">
        <v>289</v>
      </c>
      <c r="G45" s="6" t="str">
        <f>"1-6306870961"</f>
        <v>1-6306870961</v>
      </c>
      <c r="H45" s="6" t="str">
        <f>"Pennsylvania"</f>
        <v>Pennsylvania</v>
      </c>
      <c r="I45" s="6" t="str">
        <f>"19406"</f>
        <v>19406</v>
      </c>
      <c r="J45" s="6" t="s">
        <v>408</v>
      </c>
      <c r="K45" s="6" t="s">
        <v>406</v>
      </c>
      <c r="L45" s="7" t="s">
        <v>402</v>
      </c>
      <c r="M45" s="6" t="str">
        <f>"No"</f>
        <v>No</v>
      </c>
      <c r="N45" s="6" t="str">
        <f>"NA"</f>
        <v>NA</v>
      </c>
      <c r="O45" s="6" t="s">
        <v>290</v>
      </c>
      <c r="P45" s="6" t="s">
        <v>18</v>
      </c>
      <c r="Q45" s="6" t="s">
        <v>379</v>
      </c>
    </row>
    <row r="46" spans="1:17" s="1" customFormat="1" ht="120">
      <c r="A46" s="6" t="s">
        <v>410</v>
      </c>
      <c r="B46" s="6" t="str">
        <f>"IGATE"</f>
        <v>IGATE</v>
      </c>
      <c r="C46" s="6" t="s">
        <v>308</v>
      </c>
      <c r="D46" s="6" t="s">
        <v>309</v>
      </c>
      <c r="E46" s="6" t="str">
        <f>"Senior Software Engineer"</f>
        <v>Senior Software Engineer</v>
      </c>
      <c r="F46" s="6" t="s">
        <v>310</v>
      </c>
      <c r="G46" s="6" t="str">
        <f>"91-7674000962"</f>
        <v>91-7674000962</v>
      </c>
      <c r="H46" s="6" t="str">
        <f>"Telangana"</f>
        <v>Telangana</v>
      </c>
      <c r="I46" s="6" t="str">
        <f>"500081"</f>
        <v>500081</v>
      </c>
      <c r="J46" s="6" t="s">
        <v>49</v>
      </c>
      <c r="K46" s="6" t="s">
        <v>406</v>
      </c>
      <c r="L46" s="8" t="s">
        <v>20</v>
      </c>
      <c r="M46" s="6" t="str">
        <f>"Yes"</f>
        <v>Yes</v>
      </c>
      <c r="N46" s="6" t="str">
        <f>"N/A"</f>
        <v>N/A</v>
      </c>
      <c r="O46" s="6" t="s">
        <v>311</v>
      </c>
      <c r="P46" s="6" t="s">
        <v>18</v>
      </c>
      <c r="Q46" s="6" t="s">
        <v>380</v>
      </c>
    </row>
    <row r="47" spans="1:17" s="1" customFormat="1" ht="120">
      <c r="A47" s="6" t="s">
        <v>410</v>
      </c>
      <c r="B47" s="6" t="str">
        <f>"IGATE Global Solutions"</f>
        <v>IGATE Global Solutions</v>
      </c>
      <c r="C47" s="6" t="s">
        <v>332</v>
      </c>
      <c r="D47" s="6" t="s">
        <v>333</v>
      </c>
      <c r="E47" s="6" t="str">
        <f>"Senior Software Engineer"</f>
        <v>Senior Software Engineer</v>
      </c>
      <c r="F47" s="6" t="s">
        <v>334</v>
      </c>
      <c r="G47" s="6" t="str">
        <f>"91-7032900340"</f>
        <v>91-7032900340</v>
      </c>
      <c r="H47" s="6" t="str">
        <f>"Telangana"</f>
        <v>Telangana</v>
      </c>
      <c r="I47" s="6" t="str">
        <f>"500081"</f>
        <v>500081</v>
      </c>
      <c r="J47" s="6" t="s">
        <v>49</v>
      </c>
      <c r="K47" s="6" t="s">
        <v>406</v>
      </c>
      <c r="L47" s="8" t="s">
        <v>20</v>
      </c>
      <c r="M47" s="6" t="str">
        <f>"No"</f>
        <v>No</v>
      </c>
      <c r="N47" s="6" t="str">
        <f>"NA"</f>
        <v>NA</v>
      </c>
      <c r="O47" s="6" t="s">
        <v>335</v>
      </c>
      <c r="P47" s="6" t="s">
        <v>18</v>
      </c>
      <c r="Q47" s="6" t="s">
        <v>383</v>
      </c>
    </row>
    <row r="48" spans="1:17" s="1" customFormat="1" ht="120">
      <c r="A48" s="6" t="s">
        <v>410</v>
      </c>
      <c r="B48" s="6" t="str">
        <f>"InCoPro BVBA"</f>
        <v>InCoPro BVBA</v>
      </c>
      <c r="C48" s="6" t="s">
        <v>247</v>
      </c>
      <c r="D48" s="6" t="s">
        <v>248</v>
      </c>
      <c r="E48" s="6" t="str">
        <f>"Transition Manager"</f>
        <v>Transition Manager</v>
      </c>
      <c r="F48" s="6" t="s">
        <v>249</v>
      </c>
      <c r="G48" s="6" t="str">
        <f>"32-473381613"</f>
        <v>32-473381613</v>
      </c>
      <c r="H48" s="6" t="str">
        <f>"Vlaams Brabant"</f>
        <v>Vlaams Brabant</v>
      </c>
      <c r="I48" s="6" t="str">
        <f>"3020"</f>
        <v>3020</v>
      </c>
      <c r="J48" s="6" t="s">
        <v>251</v>
      </c>
      <c r="K48" s="6" t="s">
        <v>406</v>
      </c>
      <c r="L48" s="8" t="s">
        <v>63</v>
      </c>
      <c r="M48" s="6" t="str">
        <f>"Yes"</f>
        <v>Yes</v>
      </c>
      <c r="N48" s="6" t="str">
        <f>"keeping up with collaboration through all web-platforms and exchange of data between them and or back bone systems"</f>
        <v>keeping up with collaboration through all web-platforms and exchange of data between them and or back bone systems</v>
      </c>
      <c r="O48" s="6" t="s">
        <v>250</v>
      </c>
      <c r="P48" s="6" t="s">
        <v>18</v>
      </c>
      <c r="Q48" s="6" t="s">
        <v>386</v>
      </c>
    </row>
    <row r="49" spans="1:17" s="1" customFormat="1" ht="120">
      <c r="A49" s="6" t="s">
        <v>410</v>
      </c>
      <c r="B49" s="6" t="str">
        <f>"Independant"</f>
        <v>Independant</v>
      </c>
      <c r="C49" s="6" t="s">
        <v>189</v>
      </c>
      <c r="D49" s="6" t="s">
        <v>190</v>
      </c>
      <c r="E49" s="6" t="str">
        <f>"Contractor"</f>
        <v>Contractor</v>
      </c>
      <c r="F49" s="6" t="s">
        <v>191</v>
      </c>
      <c r="G49" s="6" t="str">
        <f>"1-(404) 685-2498"</f>
        <v>1-(404) 685-2498</v>
      </c>
      <c r="H49" s="6" t="str">
        <f>"Georgia"</f>
        <v>Georgia</v>
      </c>
      <c r="I49" s="6" t="str">
        <f>"30305"</f>
        <v>30305</v>
      </c>
      <c r="J49" s="6" t="s">
        <v>408</v>
      </c>
      <c r="K49" s="6" t="s">
        <v>406</v>
      </c>
      <c r="L49" s="7" t="s">
        <v>402</v>
      </c>
      <c r="M49" s="6" t="str">
        <f>"No"</f>
        <v>No</v>
      </c>
      <c r="N49" s="6"/>
      <c r="O49" s="6" t="s">
        <v>192</v>
      </c>
      <c r="P49" s="6" t="s">
        <v>18</v>
      </c>
      <c r="Q49" s="6"/>
    </row>
    <row r="50" spans="1:17" s="1" customFormat="1" ht="135">
      <c r="A50" s="6" t="s">
        <v>410</v>
      </c>
      <c r="B50" s="6" t="str">
        <f>"Infosys"</f>
        <v>Infosys</v>
      </c>
      <c r="C50" s="6" t="s">
        <v>304</v>
      </c>
      <c r="D50" s="6" t="s">
        <v>305</v>
      </c>
      <c r="E50" s="6" t="str">
        <f>"Sr. Technical Architect"</f>
        <v>Sr. Technical Architect</v>
      </c>
      <c r="F50" s="6" t="s">
        <v>306</v>
      </c>
      <c r="G50" s="6" t="str">
        <f>"1-781-933-8995"</f>
        <v>1-781-933-8995</v>
      </c>
      <c r="H50" s="6" t="str">
        <f>"MA"</f>
        <v>MA</v>
      </c>
      <c r="I50" s="6" t="str">
        <f>"02169"</f>
        <v>02169</v>
      </c>
      <c r="J50" s="6" t="s">
        <v>408</v>
      </c>
      <c r="K50" s="6" t="s">
        <v>405</v>
      </c>
      <c r="L50" s="7" t="s">
        <v>402</v>
      </c>
      <c r="M50" s="6" t="str">
        <f>"No"</f>
        <v>No</v>
      </c>
      <c r="N50" s="6" t="str">
        <f>"Understanding the pros and cons"</f>
        <v>Understanding the pros and cons</v>
      </c>
      <c r="O50" s="6" t="s">
        <v>307</v>
      </c>
      <c r="P50" s="6" t="s">
        <v>17</v>
      </c>
      <c r="Q50" s="6"/>
    </row>
    <row r="51" spans="1:17" s="1" customFormat="1" ht="120">
      <c r="A51" s="6" t="s">
        <v>410</v>
      </c>
      <c r="B51" s="6" t="str">
        <f>"JPMorgan"</f>
        <v>JPMorgan</v>
      </c>
      <c r="C51" s="6" t="s">
        <v>25</v>
      </c>
      <c r="D51" s="6" t="s">
        <v>26</v>
      </c>
      <c r="E51" s="6" t="str">
        <f>"Engineer Lead"</f>
        <v>Engineer Lead</v>
      </c>
      <c r="F51" s="6" t="s">
        <v>27</v>
      </c>
      <c r="G51" s="6" t="str">
        <f>"1-312.954.8911"</f>
        <v>1-312.954.8911</v>
      </c>
      <c r="H51" s="6" t="str">
        <f>"IL"</f>
        <v>IL</v>
      </c>
      <c r="I51" s="6" t="str">
        <f>"60606"</f>
        <v>60606</v>
      </c>
      <c r="J51" s="6" t="s">
        <v>408</v>
      </c>
      <c r="K51" s="6" t="s">
        <v>406</v>
      </c>
      <c r="L51" s="8" t="s">
        <v>20</v>
      </c>
      <c r="M51" s="6" t="str">
        <f>"No"</f>
        <v>No</v>
      </c>
      <c r="N51" s="6" t="str">
        <f>"How/Where to start.   Gathering APIs, publishing APIs, and implementing ACL controls for accessing/downloading as well as ACLs to allow developers to self manage their APIs."</f>
        <v>How/Where to start.   Gathering APIs, publishing APIs, and implementing ACL controls for accessing/downloading as well as ACLs to allow developers to self manage their APIs.</v>
      </c>
      <c r="O51" s="6" t="s">
        <v>28</v>
      </c>
      <c r="P51" s="6" t="s">
        <v>18</v>
      </c>
      <c r="Q51" s="6" t="s">
        <v>384</v>
      </c>
    </row>
    <row r="52" spans="1:17" s="1" customFormat="1" ht="135">
      <c r="A52" s="6" t="s">
        <v>410</v>
      </c>
      <c r="B52" s="6" t="str">
        <f>"Kimber Mfg"</f>
        <v>Kimber Mfg</v>
      </c>
      <c r="C52" s="6" t="s">
        <v>232</v>
      </c>
      <c r="D52" s="6" t="s">
        <v>233</v>
      </c>
      <c r="E52" s="6" t="str">
        <f>"Continuous Improvement Eng"</f>
        <v>Continuous Improvement Eng</v>
      </c>
      <c r="F52" s="6" t="s">
        <v>234</v>
      </c>
      <c r="G52" s="6" t="str">
        <f>"1-9147218419"</f>
        <v>1-9147218419</v>
      </c>
      <c r="H52" s="6" t="str">
        <f>"NY"</f>
        <v>NY</v>
      </c>
      <c r="I52" s="6" t="str">
        <f>"10710"</f>
        <v>10710</v>
      </c>
      <c r="J52" s="6" t="s">
        <v>408</v>
      </c>
      <c r="K52" s="6" t="s">
        <v>405</v>
      </c>
      <c r="L52" s="8" t="s">
        <v>63</v>
      </c>
      <c r="M52" s="6" t="str">
        <f>"No"</f>
        <v>No</v>
      </c>
      <c r="N52" s="6" t="str">
        <f>"want to see what is available"</f>
        <v>want to see what is available</v>
      </c>
      <c r="O52" s="6" t="s">
        <v>235</v>
      </c>
      <c r="P52" s="6" t="s">
        <v>17</v>
      </c>
      <c r="Q52" s="6"/>
    </row>
    <row r="53" spans="1:17" s="1" customFormat="1" ht="135">
      <c r="A53" s="6" t="s">
        <v>410</v>
      </c>
      <c r="B53" s="6" t="str">
        <f>"La Vida Buena, LLC"</f>
        <v>La Vida Buena, LLC</v>
      </c>
      <c r="C53" s="6" t="s">
        <v>77</v>
      </c>
      <c r="D53" s="6" t="s">
        <v>78</v>
      </c>
      <c r="E53" s="6" t="str">
        <f>"Systems Engineer"</f>
        <v>Systems Engineer</v>
      </c>
      <c r="F53" s="6" t="s">
        <v>79</v>
      </c>
      <c r="G53" s="6" t="str">
        <f>"1-512.730.2758"</f>
        <v>1-512.730.2758</v>
      </c>
      <c r="H53" s="6" t="str">
        <f>"TX"</f>
        <v>TX</v>
      </c>
      <c r="I53" s="6" t="str">
        <f>"78660"</f>
        <v>78660</v>
      </c>
      <c r="J53" s="6" t="s">
        <v>408</v>
      </c>
      <c r="K53" s="6" t="s">
        <v>405</v>
      </c>
      <c r="L53" s="7" t="s">
        <v>402</v>
      </c>
      <c r="M53" s="6" t="str">
        <f>"No"</f>
        <v>No</v>
      </c>
      <c r="N53" s="6" t="str">
        <f>"How to monetize and manage"</f>
        <v>How to monetize and manage</v>
      </c>
      <c r="O53" s="6" t="s">
        <v>80</v>
      </c>
      <c r="P53" s="6" t="s">
        <v>17</v>
      </c>
      <c r="Q53" s="6"/>
    </row>
    <row r="54" spans="1:17" s="1" customFormat="1" ht="135">
      <c r="A54" s="6" t="s">
        <v>410</v>
      </c>
      <c r="B54" s="6" t="str">
        <f>"Lowes"</f>
        <v>Lowes</v>
      </c>
      <c r="C54" s="6" t="s">
        <v>275</v>
      </c>
      <c r="D54" s="6" t="s">
        <v>276</v>
      </c>
      <c r="E54" s="6" t="str">
        <f>"EA Integration"</f>
        <v>EA Integration</v>
      </c>
      <c r="F54" s="6" t="s">
        <v>277</v>
      </c>
      <c r="G54" s="6" t="str">
        <f>"1-7047582533"</f>
        <v>1-7047582533</v>
      </c>
      <c r="H54" s="6" t="str">
        <f>"NC"</f>
        <v>NC</v>
      </c>
      <c r="I54" s="6" t="str">
        <f>"28117"</f>
        <v>28117</v>
      </c>
      <c r="J54" s="6" t="s">
        <v>408</v>
      </c>
      <c r="K54" s="6" t="s">
        <v>405</v>
      </c>
      <c r="L54" s="8" t="s">
        <v>20</v>
      </c>
      <c r="M54" s="6" t="str">
        <f>"Yes"</f>
        <v>Yes</v>
      </c>
      <c r="N54" s="6" t="str">
        <f>"_"</f>
        <v>_</v>
      </c>
      <c r="O54" s="6" t="s">
        <v>278</v>
      </c>
      <c r="P54" s="6" t="s">
        <v>17</v>
      </c>
      <c r="Q54" s="6"/>
    </row>
    <row r="55" spans="1:17" s="1" customFormat="1" ht="135">
      <c r="A55" s="6" t="s">
        <v>410</v>
      </c>
      <c r="B55" s="6" t="str">
        <f>"Lowes"</f>
        <v>Lowes</v>
      </c>
      <c r="C55" s="6" t="s">
        <v>320</v>
      </c>
      <c r="D55" s="6" t="s">
        <v>321</v>
      </c>
      <c r="E55" s="6" t="str">
        <f>"Analyst"</f>
        <v>Analyst</v>
      </c>
      <c r="F55" s="6" t="s">
        <v>322</v>
      </c>
      <c r="G55" s="6" t="str">
        <f>"1-7047585184"</f>
        <v>1-7047585184</v>
      </c>
      <c r="H55" s="6" t="str">
        <f>"NC"</f>
        <v>NC</v>
      </c>
      <c r="I55" s="6" t="str">
        <f>"28117"</f>
        <v>28117</v>
      </c>
      <c r="J55" s="6" t="s">
        <v>408</v>
      </c>
      <c r="K55" s="6" t="s">
        <v>405</v>
      </c>
      <c r="L55" s="8" t="s">
        <v>20</v>
      </c>
      <c r="M55" s="6" t="str">
        <f>"No"</f>
        <v>No</v>
      </c>
      <c r="N55" s="6" t="str">
        <f>"Security"</f>
        <v>Security</v>
      </c>
      <c r="O55" s="6" t="s">
        <v>323</v>
      </c>
      <c r="P55" s="6" t="s">
        <v>17</v>
      </c>
      <c r="Q55" s="6"/>
    </row>
    <row r="56" spans="1:17" s="1" customFormat="1" ht="135">
      <c r="A56" s="6" t="s">
        <v>410</v>
      </c>
      <c r="B56" s="6" t="str">
        <f>"Lowes"</f>
        <v>Lowes</v>
      </c>
      <c r="C56" s="6" t="s">
        <v>291</v>
      </c>
      <c r="D56" s="6" t="s">
        <v>292</v>
      </c>
      <c r="E56" s="6" t="str">
        <f>"Sr. Manager"</f>
        <v>Sr. Manager</v>
      </c>
      <c r="F56" s="6" t="s">
        <v>293</v>
      </c>
      <c r="G56" s="6" t="str">
        <f>"1-7046770373"</f>
        <v>1-7046770373</v>
      </c>
      <c r="H56" s="6" t="str">
        <f>"North Carolina"</f>
        <v>North Carolina</v>
      </c>
      <c r="I56" s="6" t="str">
        <f>"28117"</f>
        <v>28117</v>
      </c>
      <c r="J56" s="6" t="s">
        <v>408</v>
      </c>
      <c r="K56" s="6" t="s">
        <v>405</v>
      </c>
      <c r="L56" s="8" t="s">
        <v>20</v>
      </c>
      <c r="M56" s="6" t="str">
        <f>"Yes"</f>
        <v>Yes</v>
      </c>
      <c r="N56" s="6" t="str">
        <f>"The need to manage distributed services, their SLAs and the ability for developers to acquire and execute in their solution delivery"</f>
        <v>The need to manage distributed services, their SLAs and the ability for developers to acquire and execute in their solution delivery</v>
      </c>
      <c r="O56" s="6" t="s">
        <v>294</v>
      </c>
      <c r="P56" s="6" t="s">
        <v>17</v>
      </c>
      <c r="Q56" s="6"/>
    </row>
    <row r="57" spans="1:17" s="1" customFormat="1" ht="120">
      <c r="A57" s="6" t="s">
        <v>410</v>
      </c>
      <c r="B57" s="6" t="str">
        <f>"Lowes"</f>
        <v>Lowes</v>
      </c>
      <c r="C57" s="6" t="s">
        <v>324</v>
      </c>
      <c r="D57" s="6" t="s">
        <v>325</v>
      </c>
      <c r="E57" s="6" t="str">
        <f>"SEC"</f>
        <v>SEC</v>
      </c>
      <c r="F57" s="6" t="s">
        <v>326</v>
      </c>
      <c r="G57" s="6" t="str">
        <f>"1-7047585795"</f>
        <v>1-7047585795</v>
      </c>
      <c r="H57" s="6" t="str">
        <f>"NC"</f>
        <v>NC</v>
      </c>
      <c r="I57" s="6" t="str">
        <f>"28117"</f>
        <v>28117</v>
      </c>
      <c r="J57" s="6" t="s">
        <v>408</v>
      </c>
      <c r="K57" s="6" t="s">
        <v>406</v>
      </c>
      <c r="L57" s="8" t="s">
        <v>20</v>
      </c>
      <c r="M57" s="6" t="str">
        <f>"Yes"</f>
        <v>Yes</v>
      </c>
      <c r="N57" s="6" t="str">
        <f>"scoping..."</f>
        <v>scoping...</v>
      </c>
      <c r="O57" s="6" t="s">
        <v>327</v>
      </c>
      <c r="P57" s="6" t="s">
        <v>18</v>
      </c>
      <c r="Q57" s="6" t="s">
        <v>400</v>
      </c>
    </row>
    <row r="58" spans="1:17" s="1" customFormat="1" ht="120">
      <c r="A58" s="6" t="s">
        <v>410</v>
      </c>
      <c r="B58" s="6" t="str">
        <f>"Lowe's"</f>
        <v>Lowe's</v>
      </c>
      <c r="C58" s="6" t="s">
        <v>243</v>
      </c>
      <c r="D58" s="6" t="s">
        <v>244</v>
      </c>
      <c r="E58" s="6" t="str">
        <f>"Software Engg"</f>
        <v>Software Engg</v>
      </c>
      <c r="F58" s="6" t="s">
        <v>245</v>
      </c>
      <c r="G58" s="6" t="str">
        <f>"1-7047582574"</f>
        <v>1-7047582574</v>
      </c>
      <c r="H58" s="6" t="str">
        <f>"NC"</f>
        <v>NC</v>
      </c>
      <c r="I58" s="6" t="str">
        <f>"28117"</f>
        <v>28117</v>
      </c>
      <c r="J58" s="6" t="s">
        <v>408</v>
      </c>
      <c r="K58" s="6" t="s">
        <v>406</v>
      </c>
      <c r="L58" s="8" t="s">
        <v>20</v>
      </c>
      <c r="M58" s="6" t="str">
        <f>"No"</f>
        <v>No</v>
      </c>
      <c r="N58" s="6" t="str">
        <f>"Exposing internal services to external world in a unified &amp; flexible manner."</f>
        <v>Exposing internal services to external world in a unified &amp; flexible manner.</v>
      </c>
      <c r="O58" s="6" t="s">
        <v>246</v>
      </c>
      <c r="P58" s="6" t="s">
        <v>18</v>
      </c>
      <c r="Q58" s="6" t="s">
        <v>385</v>
      </c>
    </row>
    <row r="59" spans="1:17" s="1" customFormat="1" ht="135">
      <c r="A59" s="6" t="s">
        <v>410</v>
      </c>
      <c r="B59" s="6" t="str">
        <f>"Medtronic"</f>
        <v>Medtronic</v>
      </c>
      <c r="C59" s="6" t="s">
        <v>45</v>
      </c>
      <c r="D59" s="6" t="s">
        <v>46</v>
      </c>
      <c r="E59" s="6" t="str">
        <f>"IT manager"</f>
        <v>IT manager</v>
      </c>
      <c r="F59" s="6" t="s">
        <v>47</v>
      </c>
      <c r="G59" s="6" t="str">
        <f>"91-9591225278"</f>
        <v>91-9591225278</v>
      </c>
      <c r="H59" s="6" t="str">
        <f>"Karnataka"</f>
        <v>Karnataka</v>
      </c>
      <c r="I59" s="6" t="str">
        <f>"560016"</f>
        <v>560016</v>
      </c>
      <c r="J59" s="6" t="s">
        <v>49</v>
      </c>
      <c r="K59" s="6" t="s">
        <v>405</v>
      </c>
      <c r="L59" s="8" t="s">
        <v>20</v>
      </c>
      <c r="M59" s="6" t="str">
        <f>"No"</f>
        <v>No</v>
      </c>
      <c r="N59" s="6" t="str">
        <f>"Executive sponsorship"</f>
        <v>Executive sponsorship</v>
      </c>
      <c r="O59" s="6" t="s">
        <v>48</v>
      </c>
      <c r="P59" s="6" t="s">
        <v>17</v>
      </c>
      <c r="Q59" s="6"/>
    </row>
    <row r="60" spans="1:17" s="1" customFormat="1" ht="135">
      <c r="A60" s="6" t="s">
        <v>410</v>
      </c>
      <c r="B60" s="6" t="str">
        <f>"Michael Kors"</f>
        <v>Michael Kors</v>
      </c>
      <c r="C60" s="6" t="s">
        <v>73</v>
      </c>
      <c r="D60" s="6" t="s">
        <v>74</v>
      </c>
      <c r="E60" s="6" t="str">
        <f>"Sr Manager"</f>
        <v>Sr Manager</v>
      </c>
      <c r="F60" s="6" t="s">
        <v>75</v>
      </c>
      <c r="G60" s="6" t="str">
        <f>"1-2016368506"</f>
        <v>1-2016368506</v>
      </c>
      <c r="H60" s="6" t="str">
        <f>"NJ"</f>
        <v>NJ</v>
      </c>
      <c r="I60" s="6" t="str">
        <f>"07073"</f>
        <v>07073</v>
      </c>
      <c r="J60" s="6" t="s">
        <v>408</v>
      </c>
      <c r="K60" s="6" t="s">
        <v>405</v>
      </c>
      <c r="L60" s="8" t="s">
        <v>20</v>
      </c>
      <c r="M60" s="6" t="str">
        <f>"No"</f>
        <v>No</v>
      </c>
      <c r="N60" s="6" t="str">
        <f>"NA"</f>
        <v>NA</v>
      </c>
      <c r="O60" s="6" t="s">
        <v>76</v>
      </c>
      <c r="P60" s="6" t="s">
        <v>17</v>
      </c>
      <c r="Q60" s="6"/>
    </row>
    <row r="61" spans="1:17" s="1" customFormat="1" ht="135">
      <c r="A61" s="6" t="s">
        <v>410</v>
      </c>
      <c r="B61" s="6" t="str">
        <f>"MTD Products Inc"</f>
        <v>MTD Products Inc</v>
      </c>
      <c r="C61" s="6" t="s">
        <v>110</v>
      </c>
      <c r="D61" s="6" t="s">
        <v>111</v>
      </c>
      <c r="E61" s="6" t="str">
        <f>"System Analyst"</f>
        <v>System Analyst</v>
      </c>
      <c r="F61" s="6" t="s">
        <v>112</v>
      </c>
      <c r="G61" s="6" t="str">
        <f>"1-419-935-6611"</f>
        <v>1-419-935-6611</v>
      </c>
      <c r="H61" s="6" t="str">
        <f>"Ohio"</f>
        <v>Ohio</v>
      </c>
      <c r="I61" s="6" t="str">
        <f>"44890"</f>
        <v>44890</v>
      </c>
      <c r="J61" s="6" t="s">
        <v>408</v>
      </c>
      <c r="K61" s="6" t="s">
        <v>405</v>
      </c>
      <c r="L61" s="8" t="s">
        <v>20</v>
      </c>
      <c r="M61" s="6" t="str">
        <f>"No"</f>
        <v>No</v>
      </c>
      <c r="N61" s="6" t="str">
        <f>"Not directly involved with webMethods at this time; attending to gather knowledge of process."</f>
        <v>Not directly involved with webMethods at this time; attending to gather knowledge of process.</v>
      </c>
      <c r="O61" s="6" t="s">
        <v>113</v>
      </c>
      <c r="P61" s="6" t="s">
        <v>17</v>
      </c>
      <c r="Q61" s="6"/>
    </row>
    <row r="62" spans="1:17" s="1" customFormat="1" ht="135">
      <c r="A62" s="6" t="s">
        <v>410</v>
      </c>
      <c r="B62" s="6" t="str">
        <f>"MUFG"</f>
        <v>MUFG</v>
      </c>
      <c r="C62" s="6" t="s">
        <v>279</v>
      </c>
      <c r="D62" s="6" t="s">
        <v>280</v>
      </c>
      <c r="E62" s="6" t="str">
        <f>"AVP"</f>
        <v>AVP</v>
      </c>
      <c r="F62" s="6" t="s">
        <v>281</v>
      </c>
      <c r="G62" s="6" t="str">
        <f>"1-2014138233"</f>
        <v>1-2014138233</v>
      </c>
      <c r="H62" s="6" t="str">
        <f>"NJ"</f>
        <v>NJ</v>
      </c>
      <c r="I62" s="6" t="str">
        <f>"07311"</f>
        <v>07311</v>
      </c>
      <c r="J62" s="6" t="s">
        <v>408</v>
      </c>
      <c r="K62" s="6" t="s">
        <v>405</v>
      </c>
      <c r="L62" s="8" t="s">
        <v>20</v>
      </c>
      <c r="M62" s="6" t="str">
        <f>"Yes"</f>
        <v>Yes</v>
      </c>
      <c r="N62" s="6" t="str">
        <f>"Security"</f>
        <v>Security</v>
      </c>
      <c r="O62" s="6" t="s">
        <v>282</v>
      </c>
      <c r="P62" s="6" t="s">
        <v>17</v>
      </c>
      <c r="Q62" s="6"/>
    </row>
    <row r="63" spans="1:17" s="1" customFormat="1" ht="135">
      <c r="A63" s="6" t="s">
        <v>410</v>
      </c>
      <c r="B63" s="6" t="str">
        <f>"MULTICHOICE SA"</f>
        <v>MULTICHOICE SA</v>
      </c>
      <c r="C63" s="6" t="s">
        <v>101</v>
      </c>
      <c r="D63" s="6" t="s">
        <v>102</v>
      </c>
      <c r="E63" s="6" t="str">
        <f>"BUSINESS ARCHITECT"</f>
        <v>BUSINESS ARCHITECT</v>
      </c>
      <c r="F63" s="6" t="s">
        <v>103</v>
      </c>
      <c r="G63" s="6" t="str">
        <f>"27-827583843"</f>
        <v>27-827583843</v>
      </c>
      <c r="H63" s="6" t="str">
        <f>"GAUTENG"</f>
        <v>GAUTENG</v>
      </c>
      <c r="I63" s="6" t="str">
        <f>"2000"</f>
        <v>2000</v>
      </c>
      <c r="J63" s="6" t="s">
        <v>105</v>
      </c>
      <c r="K63" s="6" t="s">
        <v>405</v>
      </c>
      <c r="L63" s="8" t="s">
        <v>58</v>
      </c>
      <c r="M63" s="6" t="str">
        <f>"No"</f>
        <v>No</v>
      </c>
      <c r="N63" s="6" t="str">
        <f>"XXX"</f>
        <v>XXX</v>
      </c>
      <c r="O63" s="6" t="s">
        <v>104</v>
      </c>
      <c r="P63" s="6" t="s">
        <v>17</v>
      </c>
      <c r="Q63" s="6"/>
    </row>
    <row r="64" spans="1:17" s="1" customFormat="1" ht="120">
      <c r="A64" s="6" t="s">
        <v>410</v>
      </c>
      <c r="B64" s="6" t="str">
        <f>"Mylan"</f>
        <v>Mylan</v>
      </c>
      <c r="C64" s="6" t="s">
        <v>208</v>
      </c>
      <c r="D64" s="6" t="s">
        <v>340</v>
      </c>
      <c r="E64" s="6" t="str">
        <f>"Director Application Integration and B2B"</f>
        <v>Director Application Integration and B2B</v>
      </c>
      <c r="F64" s="6" t="s">
        <v>341</v>
      </c>
      <c r="G64" s="6" t="str">
        <f>"1-3045992595"</f>
        <v>1-3045992595</v>
      </c>
      <c r="H64" s="6" t="str">
        <f>"WV"</f>
        <v>WV</v>
      </c>
      <c r="I64" s="6" t="str">
        <f>"26505"</f>
        <v>26505</v>
      </c>
      <c r="J64" s="6" t="s">
        <v>408</v>
      </c>
      <c r="K64" s="6" t="s">
        <v>406</v>
      </c>
      <c r="L64" s="8" t="s">
        <v>20</v>
      </c>
      <c r="M64" s="6" t="str">
        <f>"No"</f>
        <v>No</v>
      </c>
      <c r="N64" s="6" t="str">
        <f>"Not yet, but soon."</f>
        <v>Not yet, but soon.</v>
      </c>
      <c r="O64" s="6" t="s">
        <v>342</v>
      </c>
      <c r="P64" s="6" t="s">
        <v>18</v>
      </c>
      <c r="Q64" s="6" t="s">
        <v>389</v>
      </c>
    </row>
    <row r="65" spans="1:17" s="1" customFormat="1" ht="135">
      <c r="A65" s="6" t="s">
        <v>410</v>
      </c>
      <c r="B65" s="6" t="str">
        <f>"Perficient"</f>
        <v>Perficient</v>
      </c>
      <c r="C65" s="6" t="s">
        <v>185</v>
      </c>
      <c r="D65" s="6" t="s">
        <v>186</v>
      </c>
      <c r="E65" s="6" t="str">
        <f>"Senior Technical Architect"</f>
        <v>Senior Technical Architect</v>
      </c>
      <c r="F65" s="6" t="s">
        <v>187</v>
      </c>
      <c r="G65" s="6" t="str">
        <f>"1-504-810-2316"</f>
        <v>1-504-810-2316</v>
      </c>
      <c r="H65" s="6" t="str">
        <f>"LA"</f>
        <v>LA</v>
      </c>
      <c r="I65" s="6" t="str">
        <f>"70118"</f>
        <v>70118</v>
      </c>
      <c r="J65" s="6" t="s">
        <v>408</v>
      </c>
      <c r="K65" s="6" t="s">
        <v>405</v>
      </c>
      <c r="L65" s="7" t="s">
        <v>402</v>
      </c>
      <c r="M65" s="6" t="str">
        <f>"Yes"</f>
        <v>Yes</v>
      </c>
      <c r="N65" s="6" t="str">
        <f>"We are considering an API management practice."</f>
        <v>We are considering an API management practice.</v>
      </c>
      <c r="O65" s="6" t="s">
        <v>188</v>
      </c>
      <c r="P65" s="6" t="s">
        <v>17</v>
      </c>
      <c r="Q65" s="6"/>
    </row>
    <row r="66" spans="1:17" s="1" customFormat="1" ht="120">
      <c r="A66" s="6" t="s">
        <v>410</v>
      </c>
      <c r="B66" s="6" t="str">
        <f>"PerkinElmer"</f>
        <v>PerkinElmer</v>
      </c>
      <c r="C66" s="6" t="s">
        <v>93</v>
      </c>
      <c r="D66" s="6" t="s">
        <v>94</v>
      </c>
      <c r="E66" s="6" t="str">
        <f>"IT Analyst"</f>
        <v>IT Analyst</v>
      </c>
      <c r="F66" s="6" t="s">
        <v>95</v>
      </c>
      <c r="G66" s="6" t="str">
        <f>"1-7816635716"</f>
        <v>1-7816635716</v>
      </c>
      <c r="H66" s="6" t="str">
        <f>"MA"</f>
        <v>MA</v>
      </c>
      <c r="I66" s="6" t="str">
        <f>"02451"</f>
        <v>02451</v>
      </c>
      <c r="J66" s="6" t="s">
        <v>408</v>
      </c>
      <c r="K66" s="6" t="s">
        <v>406</v>
      </c>
      <c r="L66" s="8" t="s">
        <v>20</v>
      </c>
      <c r="M66" s="6" t="str">
        <f>"Yes"</f>
        <v>Yes</v>
      </c>
      <c r="N66" s="6" t="str">
        <f>"Management"</f>
        <v>Management</v>
      </c>
      <c r="O66" s="6" t="s">
        <v>96</v>
      </c>
      <c r="P66" s="6" t="s">
        <v>18</v>
      </c>
      <c r="Q66" s="6" t="s">
        <v>384</v>
      </c>
    </row>
    <row r="67" spans="1:17" s="1" customFormat="1" ht="120">
      <c r="A67" s="6" t="s">
        <v>410</v>
      </c>
      <c r="B67" s="6" t="str">
        <f>"Prudential"</f>
        <v>Prudential</v>
      </c>
      <c r="C67" s="6" t="s">
        <v>208</v>
      </c>
      <c r="D67" s="6" t="s">
        <v>209</v>
      </c>
      <c r="E67" s="6" t="str">
        <f>"systems architect"</f>
        <v>systems architect</v>
      </c>
      <c r="F67" s="6" t="s">
        <v>210</v>
      </c>
      <c r="G67" s="6" t="str">
        <f>"1-763-553-6221"</f>
        <v>1-763-553-6221</v>
      </c>
      <c r="H67" s="6" t="str">
        <f>"MN"</f>
        <v>MN</v>
      </c>
      <c r="I67" s="6" t="str">
        <f>"55442"</f>
        <v>55442</v>
      </c>
      <c r="J67" s="6" t="s">
        <v>408</v>
      </c>
      <c r="K67" s="6" t="s">
        <v>406</v>
      </c>
      <c r="L67" s="8" t="s">
        <v>20</v>
      </c>
      <c r="M67" s="6" t="str">
        <f>"Yes"</f>
        <v>Yes</v>
      </c>
      <c r="N67" s="6" t="str">
        <f>"I'm not aware of our API management challenges."</f>
        <v>I'm not aware of our API management challenges.</v>
      </c>
      <c r="O67" s="6" t="s">
        <v>211</v>
      </c>
      <c r="P67" s="6" t="s">
        <v>18</v>
      </c>
      <c r="Q67" s="6" t="s">
        <v>389</v>
      </c>
    </row>
    <row r="68" spans="1:17" s="1" customFormat="1" ht="120">
      <c r="A68" s="6" t="s">
        <v>410</v>
      </c>
      <c r="B68" s="6" t="str">
        <f>"Prudential"</f>
        <v>Prudential</v>
      </c>
      <c r="C68" s="6" t="s">
        <v>201</v>
      </c>
      <c r="D68" s="6" t="s">
        <v>202</v>
      </c>
      <c r="E68" s="6" t="str">
        <f>"Manager"</f>
        <v>Manager</v>
      </c>
      <c r="F68" s="6" t="s">
        <v>203</v>
      </c>
      <c r="G68" s="6" t="str">
        <f>"1-732 482 2050"</f>
        <v>1-732 482 2050</v>
      </c>
      <c r="H68" s="6" t="str">
        <f>"NJ"</f>
        <v>NJ</v>
      </c>
      <c r="I68" s="6" t="str">
        <f>"08830"</f>
        <v>08830</v>
      </c>
      <c r="J68" s="6" t="s">
        <v>408</v>
      </c>
      <c r="K68" s="6" t="s">
        <v>406</v>
      </c>
      <c r="L68" s="8" t="s">
        <v>20</v>
      </c>
      <c r="M68" s="6" t="str">
        <f>"No"</f>
        <v>No</v>
      </c>
      <c r="N68" s="6" t="str">
        <f>"dbgng"</f>
        <v>dbgng</v>
      </c>
      <c r="O68" s="6" t="s">
        <v>204</v>
      </c>
      <c r="P68" s="6" t="s">
        <v>18</v>
      </c>
      <c r="Q68" s="6" t="s">
        <v>393</v>
      </c>
    </row>
    <row r="69" spans="1:17" s="1" customFormat="1" ht="135">
      <c r="A69" s="6" t="s">
        <v>410</v>
      </c>
      <c r="B69" s="6" t="str">
        <f>"SBC Beverages Gh. Ltd."</f>
        <v>SBC Beverages Gh. Ltd.</v>
      </c>
      <c r="C69" s="6" t="s">
        <v>208</v>
      </c>
      <c r="D69" s="6" t="s">
        <v>267</v>
      </c>
      <c r="E69" s="6" t="str">
        <f>"Procurement Officer"</f>
        <v>Procurement Officer</v>
      </c>
      <c r="F69" s="6" t="s">
        <v>268</v>
      </c>
      <c r="G69" s="6" t="str">
        <f>"233-242208168"</f>
        <v>233-242208168</v>
      </c>
      <c r="H69" s="6" t="str">
        <f>"NA"</f>
        <v>NA</v>
      </c>
      <c r="I69" s="6" t="str">
        <f>"NA"</f>
        <v>NA</v>
      </c>
      <c r="J69" s="6" t="s">
        <v>270</v>
      </c>
      <c r="K69" s="6" t="s">
        <v>405</v>
      </c>
      <c r="L69" s="8" t="s">
        <v>58</v>
      </c>
      <c r="M69" s="6" t="str">
        <f>"No"</f>
        <v>No</v>
      </c>
      <c r="N69" s="6" t="str">
        <f>"N/A"</f>
        <v>N/A</v>
      </c>
      <c r="O69" s="6" t="s">
        <v>269</v>
      </c>
      <c r="P69" s="6" t="s">
        <v>17</v>
      </c>
      <c r="Q69" s="6"/>
    </row>
    <row r="70" spans="1:17" s="1" customFormat="1" ht="120">
      <c r="A70" s="6" t="s">
        <v>410</v>
      </c>
      <c r="B70" s="6" t="str">
        <f>"Sciquest Inc"</f>
        <v>Sciquest Inc</v>
      </c>
      <c r="C70" s="6" t="s">
        <v>106</v>
      </c>
      <c r="D70" s="6" t="s">
        <v>107</v>
      </c>
      <c r="E70" s="6" t="str">
        <f>"Sr. webMethods developer"</f>
        <v>Sr. webMethods developer</v>
      </c>
      <c r="F70" s="6" t="s">
        <v>108</v>
      </c>
      <c r="G70" s="6" t="str">
        <f>"1-9196592299"</f>
        <v>1-9196592299</v>
      </c>
      <c r="H70" s="6" t="str">
        <f>"NC"</f>
        <v>NC</v>
      </c>
      <c r="I70" s="6" t="str">
        <f>"27560"</f>
        <v>27560</v>
      </c>
      <c r="J70" s="6" t="s">
        <v>408</v>
      </c>
      <c r="K70" s="6" t="s">
        <v>406</v>
      </c>
      <c r="L70" s="8" t="s">
        <v>58</v>
      </c>
      <c r="M70" s="6" t="str">
        <f>"No"</f>
        <v>No</v>
      </c>
      <c r="N70" s="6" t="str">
        <f>"Nothing"</f>
        <v>Nothing</v>
      </c>
      <c r="O70" s="6" t="s">
        <v>109</v>
      </c>
      <c r="P70" s="6" t="s">
        <v>18</v>
      </c>
      <c r="Q70" s="6" t="s">
        <v>395</v>
      </c>
    </row>
    <row r="71" spans="1:17" s="1" customFormat="1" ht="135">
      <c r="A71" s="6" t="s">
        <v>410</v>
      </c>
      <c r="B71" s="6" t="str">
        <f>"scmiles"</f>
        <v>scmiles</v>
      </c>
      <c r="C71" s="6" t="s">
        <v>328</v>
      </c>
      <c r="D71" s="6" t="s">
        <v>329</v>
      </c>
      <c r="E71" s="6" t="str">
        <f>"ID"</f>
        <v>ID</v>
      </c>
      <c r="F71" s="6" t="s">
        <v>330</v>
      </c>
      <c r="G71" s="6" t="str">
        <f>"1-5610662"</f>
        <v>1-5610662</v>
      </c>
      <c r="H71" s="6" t="str">
        <f>"Does not apply"</f>
        <v>Does not apply</v>
      </c>
      <c r="I71" s="6" t="str">
        <f>"1981"</f>
        <v>1981</v>
      </c>
      <c r="J71" s="6" t="s">
        <v>251</v>
      </c>
      <c r="K71" s="6" t="s">
        <v>405</v>
      </c>
      <c r="L71" s="7" t="s">
        <v>402</v>
      </c>
      <c r="M71" s="6" t="str">
        <f>"No"</f>
        <v>No</v>
      </c>
      <c r="N71" s="6" t="str">
        <f>"Understanding the API Management"</f>
        <v>Understanding the API Management</v>
      </c>
      <c r="O71" s="6" t="s">
        <v>331</v>
      </c>
      <c r="P71" s="6" t="s">
        <v>17</v>
      </c>
      <c r="Q71" s="6"/>
    </row>
    <row r="72" spans="1:17" s="1" customFormat="1" ht="120">
      <c r="A72" s="6" t="s">
        <v>410</v>
      </c>
      <c r="B72" s="6" t="str">
        <f>"Sears Holdings"</f>
        <v>Sears Holdings</v>
      </c>
      <c r="C72" s="6" t="s">
        <v>37</v>
      </c>
      <c r="D72" s="6" t="s">
        <v>38</v>
      </c>
      <c r="E72" s="6" t="str">
        <f>"Architect"</f>
        <v>Architect</v>
      </c>
      <c r="F72" s="6" t="s">
        <v>39</v>
      </c>
      <c r="G72" s="6" t="str">
        <f>"1-8472862015"</f>
        <v>1-8472862015</v>
      </c>
      <c r="H72" s="6" t="str">
        <f>"IL"</f>
        <v>IL</v>
      </c>
      <c r="I72" s="6" t="str">
        <f>"60179"</f>
        <v>60179</v>
      </c>
      <c r="J72" s="6" t="s">
        <v>408</v>
      </c>
      <c r="K72" s="6" t="s">
        <v>406</v>
      </c>
      <c r="L72" s="8" t="s">
        <v>20</v>
      </c>
      <c r="M72" s="6" t="str">
        <f>"Yes"</f>
        <v>Yes</v>
      </c>
      <c r="N72" s="6" t="str">
        <f>"deployment"</f>
        <v>deployment</v>
      </c>
      <c r="O72" s="6" t="s">
        <v>40</v>
      </c>
      <c r="P72" s="6" t="s">
        <v>18</v>
      </c>
      <c r="Q72" s="6" t="s">
        <v>388</v>
      </c>
    </row>
    <row r="73" spans="1:17" s="1" customFormat="1" ht="135">
      <c r="A73" s="6" t="s">
        <v>410</v>
      </c>
      <c r="B73" s="6" t="str">
        <f>"SHC"</f>
        <v>SHC</v>
      </c>
      <c r="C73" s="6" t="s">
        <v>216</v>
      </c>
      <c r="D73" s="6" t="s">
        <v>217</v>
      </c>
      <c r="E73" s="6" t="str">
        <f>"Manager"</f>
        <v>Manager</v>
      </c>
      <c r="F73" s="6" t="s">
        <v>218</v>
      </c>
      <c r="G73" s="6" t="str">
        <f>"1-6302203493"</f>
        <v>1-6302203493</v>
      </c>
      <c r="H73" s="6" t="str">
        <f>"IL"</f>
        <v>IL</v>
      </c>
      <c r="I73" s="6" t="str">
        <f>"60179"</f>
        <v>60179</v>
      </c>
      <c r="J73" s="6" t="s">
        <v>408</v>
      </c>
      <c r="K73" s="6" t="s">
        <v>405</v>
      </c>
      <c r="L73" s="8" t="s">
        <v>20</v>
      </c>
      <c r="M73" s="6" t="str">
        <f>"Yes"</f>
        <v>Yes</v>
      </c>
      <c r="N73" s="6" t="str">
        <f>"none"</f>
        <v>none</v>
      </c>
      <c r="O73" s="6" t="s">
        <v>219</v>
      </c>
      <c r="P73" s="6" t="s">
        <v>17</v>
      </c>
      <c r="Q73" s="6"/>
    </row>
    <row r="74" spans="1:17" s="1" customFormat="1" ht="135">
      <c r="A74" s="6" t="s">
        <v>410</v>
      </c>
      <c r="B74" s="6" t="str">
        <f>"Staples"</f>
        <v>Staples</v>
      </c>
      <c r="C74" s="6" t="s">
        <v>146</v>
      </c>
      <c r="D74" s="6" t="s">
        <v>147</v>
      </c>
      <c r="E74" s="6" t="str">
        <f>"Principle Software Engineer"</f>
        <v>Principle Software Engineer</v>
      </c>
      <c r="F74" s="6" t="s">
        <v>148</v>
      </c>
      <c r="G74" s="6" t="str">
        <f>"1-4129168803"</f>
        <v>1-4129168803</v>
      </c>
      <c r="H74" s="6" t="str">
        <f>"MA"</f>
        <v>MA</v>
      </c>
      <c r="I74" s="6" t="str">
        <f>"01702"</f>
        <v>01702</v>
      </c>
      <c r="J74" s="6" t="s">
        <v>408</v>
      </c>
      <c r="K74" s="6" t="s">
        <v>405</v>
      </c>
      <c r="L74" s="8" t="s">
        <v>20</v>
      </c>
      <c r="M74" s="6" t="str">
        <f>"Yes"</f>
        <v>Yes</v>
      </c>
      <c r="N74" s="6" t="str">
        <f>"Caching / Security"</f>
        <v>Caching / Security</v>
      </c>
      <c r="O74" s="6" t="s">
        <v>149</v>
      </c>
      <c r="P74" s="6" t="s">
        <v>17</v>
      </c>
      <c r="Q74" s="6"/>
    </row>
    <row r="75" spans="1:17" s="1" customFormat="1" ht="120">
      <c r="A75" s="6" t="s">
        <v>410</v>
      </c>
      <c r="B75" s="6" t="str">
        <f>"Staples"</f>
        <v>Staples</v>
      </c>
      <c r="C75" s="6" t="s">
        <v>312</v>
      </c>
      <c r="D75" s="6" t="s">
        <v>313</v>
      </c>
      <c r="E75" s="6" t="str">
        <f>"Mr"</f>
        <v>Mr</v>
      </c>
      <c r="F75" s="6" t="s">
        <v>314</v>
      </c>
      <c r="G75" s="6" t="str">
        <f>"1-4129168803"</f>
        <v>1-4129168803</v>
      </c>
      <c r="H75" s="6" t="str">
        <f>"MA"</f>
        <v>MA</v>
      </c>
      <c r="I75" s="6" t="str">
        <f>"01702"</f>
        <v>01702</v>
      </c>
      <c r="J75" s="6" t="s">
        <v>408</v>
      </c>
      <c r="K75" s="6" t="s">
        <v>406</v>
      </c>
      <c r="L75" s="8" t="s">
        <v>20</v>
      </c>
      <c r="M75" s="6" t="str">
        <f>"Yes"</f>
        <v>Yes</v>
      </c>
      <c r="N75" s="6" t="str">
        <f>"None"</f>
        <v>None</v>
      </c>
      <c r="O75" s="6" t="s">
        <v>315</v>
      </c>
      <c r="P75" s="6" t="s">
        <v>18</v>
      </c>
      <c r="Q75" s="6" t="s">
        <v>391</v>
      </c>
    </row>
    <row r="76" spans="1:17" s="1" customFormat="1" ht="120">
      <c r="A76" s="6" t="s">
        <v>410</v>
      </c>
      <c r="B76" s="6" t="str">
        <f>"Staples"</f>
        <v>Staples</v>
      </c>
      <c r="C76" s="6" t="s">
        <v>271</v>
      </c>
      <c r="D76" s="6" t="s">
        <v>272</v>
      </c>
      <c r="E76" s="6" t="str">
        <f>"Principal Analyst"</f>
        <v>Principal Analyst</v>
      </c>
      <c r="F76" s="6" t="s">
        <v>273</v>
      </c>
      <c r="G76" s="6" t="str">
        <f>"1-8122293630"</f>
        <v>1-8122293630</v>
      </c>
      <c r="H76" s="6" t="str">
        <f>"MA"</f>
        <v>MA</v>
      </c>
      <c r="I76" s="6" t="str">
        <f>"01702"</f>
        <v>01702</v>
      </c>
      <c r="J76" s="6" t="s">
        <v>408</v>
      </c>
      <c r="K76" s="6" t="s">
        <v>406</v>
      </c>
      <c r="L76" s="8" t="s">
        <v>20</v>
      </c>
      <c r="M76" s="6" t="str">
        <f>"Yes"</f>
        <v>Yes</v>
      </c>
      <c r="N76" s="6" t="str">
        <f>"Building API in integration platform"</f>
        <v>Building API in integration platform</v>
      </c>
      <c r="O76" s="6" t="s">
        <v>274</v>
      </c>
      <c r="P76" s="6" t="s">
        <v>18</v>
      </c>
      <c r="Q76" s="6" t="s">
        <v>13</v>
      </c>
    </row>
    <row r="77" spans="1:17" s="1" customFormat="1" ht="135">
      <c r="A77" s="6" t="s">
        <v>410</v>
      </c>
      <c r="B77" s="6" t="str">
        <f>"Starbucks"</f>
        <v>Starbucks</v>
      </c>
      <c r="C77" s="6" t="s">
        <v>85</v>
      </c>
      <c r="D77" s="6" t="s">
        <v>86</v>
      </c>
      <c r="E77" s="6" t="str">
        <f>"Dir. of Solution Architecture and Integration"</f>
        <v>Dir. of Solution Architecture and Integration</v>
      </c>
      <c r="F77" s="6" t="s">
        <v>87</v>
      </c>
      <c r="G77" s="6" t="str">
        <f>"1-4145555555"</f>
        <v>1-4145555555</v>
      </c>
      <c r="H77" s="6" t="str">
        <f>"WA"</f>
        <v>WA</v>
      </c>
      <c r="I77" s="6" t="str">
        <f>"98036"</f>
        <v>98036</v>
      </c>
      <c r="J77" s="6" t="s">
        <v>408</v>
      </c>
      <c r="K77" s="6" t="s">
        <v>405</v>
      </c>
      <c r="L77" s="8" t="s">
        <v>20</v>
      </c>
      <c r="M77" s="6" t="str">
        <f>"No"</f>
        <v>No</v>
      </c>
      <c r="N77" s="6" t="str">
        <f>"Just looking to learn more about your product"</f>
        <v>Just looking to learn more about your product</v>
      </c>
      <c r="O77" s="6" t="s">
        <v>88</v>
      </c>
      <c r="P77" s="6" t="s">
        <v>17</v>
      </c>
      <c r="Q77" s="6"/>
    </row>
    <row r="78" spans="1:17" s="1" customFormat="1" ht="135">
      <c r="A78" s="6" t="s">
        <v>410</v>
      </c>
      <c r="B78" s="6" t="str">
        <f>"Starbucks"</f>
        <v>Starbucks</v>
      </c>
      <c r="C78" s="6" t="s">
        <v>89</v>
      </c>
      <c r="D78" s="6" t="s">
        <v>90</v>
      </c>
      <c r="E78" s="6" t="str">
        <f>"Sr. PM"</f>
        <v>Sr. PM</v>
      </c>
      <c r="F78" s="6" t="s">
        <v>91</v>
      </c>
      <c r="G78" s="6" t="str">
        <f>"1-206-318-8464"</f>
        <v>1-206-318-8464</v>
      </c>
      <c r="H78" s="6" t="str">
        <f>"WA"</f>
        <v>WA</v>
      </c>
      <c r="I78" s="6" t="str">
        <f>"98134"</f>
        <v>98134</v>
      </c>
      <c r="J78" s="6" t="s">
        <v>408</v>
      </c>
      <c r="K78" s="6" t="s">
        <v>405</v>
      </c>
      <c r="L78" s="8" t="s">
        <v>20</v>
      </c>
      <c r="M78" s="6" t="str">
        <f>"Yes"</f>
        <v>Yes</v>
      </c>
      <c r="N78" s="6" t="str">
        <f>"Adoption"</f>
        <v>Adoption</v>
      </c>
      <c r="O78" s="6" t="s">
        <v>92</v>
      </c>
      <c r="P78" s="6" t="s">
        <v>17</v>
      </c>
      <c r="Q78" s="6"/>
    </row>
    <row r="79" spans="1:17" s="1" customFormat="1" ht="135">
      <c r="A79" s="6" t="s">
        <v>410</v>
      </c>
      <c r="B79" s="6" t="str">
        <f>"Starbucks"</f>
        <v>Starbucks</v>
      </c>
      <c r="C79" s="6" t="s">
        <v>260</v>
      </c>
      <c r="D79" s="6" t="s">
        <v>261</v>
      </c>
      <c r="E79" s="6" t="str">
        <f>"enterprise architect principal"</f>
        <v>enterprise architect principal</v>
      </c>
      <c r="F79" s="6" t="s">
        <v>262</v>
      </c>
      <c r="G79" s="6" t="str">
        <f>"1-2063182071"</f>
        <v>1-2063182071</v>
      </c>
      <c r="H79" s="6" t="str">
        <f>"WA"</f>
        <v>WA</v>
      </c>
      <c r="I79" s="6" t="str">
        <f>"98134"</f>
        <v>98134</v>
      </c>
      <c r="J79" s="6" t="s">
        <v>408</v>
      </c>
      <c r="K79" s="6" t="s">
        <v>405</v>
      </c>
      <c r="L79" s="8" t="s">
        <v>20</v>
      </c>
      <c r="M79" s="6" t="str">
        <f>"Yes"</f>
        <v>Yes</v>
      </c>
      <c r="N79" s="6" t="str">
        <f>"Security"</f>
        <v>Security</v>
      </c>
      <c r="O79" s="6" t="s">
        <v>263</v>
      </c>
      <c r="P79" s="6" t="s">
        <v>17</v>
      </c>
      <c r="Q79" s="6"/>
    </row>
    <row r="80" spans="1:17" s="1" customFormat="1" ht="120">
      <c r="A80" s="6" t="s">
        <v>410</v>
      </c>
      <c r="B80" s="6" t="str">
        <f>"Starbucks Coffee Company"</f>
        <v>Starbucks Coffee Company</v>
      </c>
      <c r="C80" s="6" t="s">
        <v>50</v>
      </c>
      <c r="D80" s="6" t="s">
        <v>51</v>
      </c>
      <c r="E80" s="6" t="str">
        <f>"dir integration services"</f>
        <v>dir integration services</v>
      </c>
      <c r="F80" s="6" t="s">
        <v>52</v>
      </c>
      <c r="G80" s="6" t="str">
        <f>"1-2063185291"</f>
        <v>1-2063185291</v>
      </c>
      <c r="H80" s="6" t="str">
        <f>"WA"</f>
        <v>WA</v>
      </c>
      <c r="I80" s="6" t="str">
        <f>"98134"</f>
        <v>98134</v>
      </c>
      <c r="J80" s="6" t="s">
        <v>408</v>
      </c>
      <c r="K80" s="6" t="s">
        <v>406</v>
      </c>
      <c r="L80" s="8" t="s">
        <v>20</v>
      </c>
      <c r="M80" s="6" t="str">
        <f>"Yes"</f>
        <v>Yes</v>
      </c>
      <c r="N80" s="6" t="str">
        <f>"Organizational change as a result of new technology model and mindset."</f>
        <v>Organizational change as a result of new technology model and mindset.</v>
      </c>
      <c r="O80" s="6" t="s">
        <v>53</v>
      </c>
      <c r="P80" s="6" t="s">
        <v>18</v>
      </c>
      <c r="Q80" s="6" t="s">
        <v>382</v>
      </c>
    </row>
    <row r="81" spans="1:17" s="1" customFormat="1" ht="135">
      <c r="A81" s="6" t="s">
        <v>410</v>
      </c>
      <c r="B81" s="6" t="str">
        <f>"Topco"</f>
        <v>Topco</v>
      </c>
      <c r="C81" s="6" t="s">
        <v>177</v>
      </c>
      <c r="D81" s="6" t="s">
        <v>178</v>
      </c>
      <c r="E81" s="6" t="str">
        <f>"Sr. Director"</f>
        <v>Sr. Director</v>
      </c>
      <c r="F81" s="6" t="s">
        <v>179</v>
      </c>
      <c r="G81" s="6" t="str">
        <f>"1-8482242502"</f>
        <v>1-8482242502</v>
      </c>
      <c r="H81" s="6" t="str">
        <f>"IL"</f>
        <v>IL</v>
      </c>
      <c r="I81" s="6" t="str">
        <f>"60089"</f>
        <v>60089</v>
      </c>
      <c r="J81" s="6" t="s">
        <v>408</v>
      </c>
      <c r="K81" s="6" t="s">
        <v>405</v>
      </c>
      <c r="L81" s="8" t="s">
        <v>58</v>
      </c>
      <c r="M81" s="6" t="str">
        <f>"No"</f>
        <v>No</v>
      </c>
      <c r="N81" s="6" t="str">
        <f>"No such initiative at present"</f>
        <v>No such initiative at present</v>
      </c>
      <c r="O81" s="6" t="s">
        <v>117</v>
      </c>
      <c r="P81" s="6" t="s">
        <v>17</v>
      </c>
      <c r="Q81" s="6"/>
    </row>
    <row r="82" spans="1:17" s="1" customFormat="1" ht="135">
      <c r="A82" s="6" t="s">
        <v>410</v>
      </c>
      <c r="B82" s="6" t="str">
        <f>"Triton Images"</f>
        <v>Triton Images</v>
      </c>
      <c r="C82" s="6" t="s">
        <v>122</v>
      </c>
      <c r="D82" s="6" t="s">
        <v>150</v>
      </c>
      <c r="E82" s="6" t="str">
        <f>"president"</f>
        <v>president</v>
      </c>
      <c r="F82" s="6" t="s">
        <v>151</v>
      </c>
      <c r="G82" s="6" t="str">
        <f>"1-000-000-0000"</f>
        <v>1-000-000-0000</v>
      </c>
      <c r="H82" s="6" t="str">
        <f>"CA"</f>
        <v>CA</v>
      </c>
      <c r="I82" s="6" t="str">
        <f>"94019"</f>
        <v>94019</v>
      </c>
      <c r="J82" s="6" t="s">
        <v>408</v>
      </c>
      <c r="K82" s="6" t="s">
        <v>405</v>
      </c>
      <c r="L82" s="7" t="s">
        <v>402</v>
      </c>
      <c r="M82" s="6" t="str">
        <f>"No"</f>
        <v>No</v>
      </c>
      <c r="N82" s="6" t="str">
        <f>"na"</f>
        <v>na</v>
      </c>
      <c r="O82" s="6" t="s">
        <v>152</v>
      </c>
      <c r="P82" s="6" t="s">
        <v>17</v>
      </c>
      <c r="Q82" s="6"/>
    </row>
    <row r="83" spans="1:17" s="1" customFormat="1" ht="120">
      <c r="A83" s="6" t="s">
        <v>410</v>
      </c>
      <c r="B83" s="6" t="str">
        <f>"U.S. Bank"</f>
        <v>U.S. Bank</v>
      </c>
      <c r="C83" s="6" t="s">
        <v>180</v>
      </c>
      <c r="D83" s="6" t="s">
        <v>181</v>
      </c>
      <c r="E83" s="6" t="str">
        <f>"Sr. Product Manager"</f>
        <v>Sr. Product Manager</v>
      </c>
      <c r="F83" s="6" t="s">
        <v>182</v>
      </c>
      <c r="G83" s="6" t="str">
        <f>"1-715-354-9752"</f>
        <v>1-715-354-9752</v>
      </c>
      <c r="H83" s="6" t="str">
        <f>"Wisconsin"</f>
        <v>Wisconsin</v>
      </c>
      <c r="I83" s="6" t="str">
        <f>"54817"</f>
        <v>54817</v>
      </c>
      <c r="J83" s="6" t="s">
        <v>408</v>
      </c>
      <c r="K83" s="6" t="s">
        <v>406</v>
      </c>
      <c r="L83" s="8" t="s">
        <v>20</v>
      </c>
      <c r="M83" s="6" t="str">
        <f>"Yes"</f>
        <v>Yes</v>
      </c>
      <c r="N83" s="6" t="s">
        <v>184</v>
      </c>
      <c r="O83" s="6" t="s">
        <v>183</v>
      </c>
      <c r="P83" s="6" t="s">
        <v>18</v>
      </c>
      <c r="Q83" s="6" t="s">
        <v>390</v>
      </c>
    </row>
    <row r="84" spans="1:17" s="1" customFormat="1" ht="135">
      <c r="A84" s="6" t="s">
        <v>410</v>
      </c>
      <c r="B84" s="6" t="str">
        <f>"unum"</f>
        <v>unum</v>
      </c>
      <c r="C84" s="6" t="s">
        <v>21</v>
      </c>
      <c r="D84" s="6" t="s">
        <v>22</v>
      </c>
      <c r="E84" s="6" t="str">
        <f>"technical architect"</f>
        <v>technical architect</v>
      </c>
      <c r="F84" s="6" t="s">
        <v>23</v>
      </c>
      <c r="G84" s="6" t="str">
        <f>"1-2075756748"</f>
        <v>1-2075756748</v>
      </c>
      <c r="H84" s="6" t="str">
        <f>"nj"</f>
        <v>nj</v>
      </c>
      <c r="I84" s="6" t="str">
        <f>"07039"</f>
        <v>07039</v>
      </c>
      <c r="J84" s="6" t="s">
        <v>408</v>
      </c>
      <c r="K84" s="6" t="s">
        <v>405</v>
      </c>
      <c r="L84" s="8" t="s">
        <v>20</v>
      </c>
      <c r="M84" s="6" t="str">
        <f>"Yes"</f>
        <v>Yes</v>
      </c>
      <c r="N84" s="6" t="str">
        <f>"api portal, data model, documentation"</f>
        <v>api portal, data model, documentation</v>
      </c>
      <c r="O84" s="6" t="s">
        <v>24</v>
      </c>
      <c r="P84" s="6" t="s">
        <v>17</v>
      </c>
      <c r="Q84" s="6"/>
    </row>
    <row r="85" spans="1:17" s="1" customFormat="1" ht="135">
      <c r="A85" s="6" t="s">
        <v>410</v>
      </c>
      <c r="B85" s="6" t="str">
        <f>"US Bank"</f>
        <v>US Bank</v>
      </c>
      <c r="C85" s="6" t="s">
        <v>212</v>
      </c>
      <c r="D85" s="6" t="s">
        <v>213</v>
      </c>
      <c r="E85" s="6" t="str">
        <f>"Admin Lead"</f>
        <v>Admin Lead</v>
      </c>
      <c r="F85" s="6" t="s">
        <v>214</v>
      </c>
      <c r="G85" s="6" t="str">
        <f>"1-6129736524"</f>
        <v>1-6129736524</v>
      </c>
      <c r="H85" s="6" t="str">
        <f>"MN"</f>
        <v>MN</v>
      </c>
      <c r="I85" s="6" t="str">
        <f>"55423"</f>
        <v>55423</v>
      </c>
      <c r="J85" s="6" t="s">
        <v>408</v>
      </c>
      <c r="K85" s="6" t="s">
        <v>405</v>
      </c>
      <c r="L85" s="8" t="s">
        <v>20</v>
      </c>
      <c r="M85" s="6" t="str">
        <f>"No"</f>
        <v>No</v>
      </c>
      <c r="N85" s="6" t="str">
        <f>"none, interested to know about the product."</f>
        <v>none, interested to know about the product.</v>
      </c>
      <c r="O85" s="6" t="s">
        <v>215</v>
      </c>
      <c r="P85" s="6" t="s">
        <v>17</v>
      </c>
      <c r="Q85" s="6"/>
    </row>
    <row r="86" spans="1:17" s="1" customFormat="1" ht="135">
      <c r="A86" s="6" t="s">
        <v>410</v>
      </c>
      <c r="B86" s="6" t="str">
        <f>"Veritiv"</f>
        <v>Veritiv</v>
      </c>
      <c r="C86" s="6" t="s">
        <v>239</v>
      </c>
      <c r="D86" s="6" t="s">
        <v>240</v>
      </c>
      <c r="E86" s="6" t="str">
        <f>"Architect"</f>
        <v>Architect</v>
      </c>
      <c r="F86" s="6" t="s">
        <v>241</v>
      </c>
      <c r="G86" s="6" t="str">
        <f>"1-6787727765"</f>
        <v>1-6787727765</v>
      </c>
      <c r="H86" s="6" t="str">
        <f>"GA"</f>
        <v>GA</v>
      </c>
      <c r="I86" s="6" t="str">
        <f>"30041"</f>
        <v>30041</v>
      </c>
      <c r="J86" s="6" t="s">
        <v>408</v>
      </c>
      <c r="K86" s="6" t="s">
        <v>405</v>
      </c>
      <c r="L86" s="7" t="s">
        <v>402</v>
      </c>
      <c r="M86" s="6" t="str">
        <f>"No"</f>
        <v>No</v>
      </c>
      <c r="N86" s="6" t="str">
        <f>"We do not have it
"</f>
        <v>We do not have it
</v>
      </c>
      <c r="O86" s="6" t="s">
        <v>242</v>
      </c>
      <c r="P86" s="6" t="s">
        <v>17</v>
      </c>
      <c r="Q86" s="6"/>
    </row>
    <row r="87" spans="1:17" s="1" customFormat="1" ht="135">
      <c r="A87" s="6" t="s">
        <v>410</v>
      </c>
      <c r="B87" s="6" t="str">
        <f>"Whirlpool"</f>
        <v>Whirlpool</v>
      </c>
      <c r="C87" s="6" t="s">
        <v>157</v>
      </c>
      <c r="D87" s="6" t="s">
        <v>158</v>
      </c>
      <c r="E87" s="6" t="str">
        <f>"Architect"</f>
        <v>Architect</v>
      </c>
      <c r="F87" s="6" t="s">
        <v>159</v>
      </c>
      <c r="G87" s="6" t="str">
        <f>"1-2699233555"</f>
        <v>1-2699233555</v>
      </c>
      <c r="H87" s="6" t="str">
        <f>"Michigan"</f>
        <v>Michigan</v>
      </c>
      <c r="I87" s="6" t="str">
        <f>"49085"</f>
        <v>49085</v>
      </c>
      <c r="J87" s="6" t="s">
        <v>408</v>
      </c>
      <c r="K87" s="6" t="s">
        <v>405</v>
      </c>
      <c r="L87" s="8" t="s">
        <v>20</v>
      </c>
      <c r="M87" s="6" t="str">
        <f>"Yes"</f>
        <v>Yes</v>
      </c>
      <c r="N87" s="6" t="str">
        <f>"-"</f>
        <v>-</v>
      </c>
      <c r="O87" s="6" t="s">
        <v>160</v>
      </c>
      <c r="P87" s="6" t="s">
        <v>17</v>
      </c>
      <c r="Q87" s="6"/>
    </row>
    <row r="88" spans="1:17" s="1" customFormat="1" ht="135">
      <c r="A88" s="6" t="s">
        <v>410</v>
      </c>
      <c r="B88" s="6" t="str">
        <f>"Yale University"</f>
        <v>Yale University</v>
      </c>
      <c r="C88" s="6" t="s">
        <v>264</v>
      </c>
      <c r="D88" s="6" t="s">
        <v>265</v>
      </c>
      <c r="E88" s="6" t="str">
        <f>"Tech Lead"</f>
        <v>Tech Lead</v>
      </c>
      <c r="F88" s="6" t="s">
        <v>266</v>
      </c>
      <c r="G88" s="6" t="str">
        <f>"1-203-436-4151"</f>
        <v>1-203-436-4151</v>
      </c>
      <c r="H88" s="6" t="str">
        <f>"CT"</f>
        <v>CT</v>
      </c>
      <c r="I88" s="6" t="str">
        <f>"06510"</f>
        <v>06510</v>
      </c>
      <c r="J88" s="6" t="s">
        <v>408</v>
      </c>
      <c r="K88" s="6" t="s">
        <v>405</v>
      </c>
      <c r="L88" s="8" t="s">
        <v>20</v>
      </c>
      <c r="M88" s="6" t="str">
        <f>"Yes"</f>
        <v>Yes</v>
      </c>
      <c r="N88" s="6" t="str">
        <f>"-"</f>
        <v>-</v>
      </c>
      <c r="O88" s="6" t="s">
        <v>235</v>
      </c>
      <c r="P88" s="6" t="s">
        <v>17</v>
      </c>
      <c r="Q88" s="6"/>
    </row>
    <row r="89" spans="1:17" s="1" customFormat="1" ht="135">
      <c r="A89" s="6" t="s">
        <v>410</v>
      </c>
      <c r="B89" s="6" t="str">
        <f>"YRC FREIGHT"</f>
        <v>YRC FREIGHT</v>
      </c>
      <c r="C89" s="6" t="s">
        <v>224</v>
      </c>
      <c r="D89" s="6" t="s">
        <v>225</v>
      </c>
      <c r="E89" s="6" t="str">
        <f>"Enterprise Architect"</f>
        <v>Enterprise Architect</v>
      </c>
      <c r="F89" s="6" t="s">
        <v>226</v>
      </c>
      <c r="G89" s="6" t="str">
        <f>"1-9133443608"</f>
        <v>1-9133443608</v>
      </c>
      <c r="H89" s="6" t="str">
        <f>"KANSAS"</f>
        <v>KANSAS</v>
      </c>
      <c r="I89" s="6" t="str">
        <f>"66211"</f>
        <v>66211</v>
      </c>
      <c r="J89" s="6" t="s">
        <v>408</v>
      </c>
      <c r="K89" s="6" t="s">
        <v>405</v>
      </c>
      <c r="L89" s="8" t="s">
        <v>20</v>
      </c>
      <c r="M89" s="6" t="str">
        <f>"Yes"</f>
        <v>Yes</v>
      </c>
      <c r="N89" s="6" t="str">
        <f>"complexity"</f>
        <v>complexity</v>
      </c>
      <c r="O89" s="6" t="s">
        <v>227</v>
      </c>
      <c r="P89" s="6" t="s">
        <v>17</v>
      </c>
      <c r="Q89" s="6"/>
    </row>
    <row r="90" spans="1:17" s="1" customFormat="1" ht="120">
      <c r="A90" s="6" t="s">
        <v>410</v>
      </c>
      <c r="B90" s="6" t="str">
        <f>"YRC Worldwide"</f>
        <v>YRC Worldwide</v>
      </c>
      <c r="C90" s="6" t="s">
        <v>142</v>
      </c>
      <c r="D90" s="6" t="s">
        <v>143</v>
      </c>
      <c r="E90" s="6" t="str">
        <f>"Sr. Architect"</f>
        <v>Sr. Architect</v>
      </c>
      <c r="F90" s="6" t="s">
        <v>144</v>
      </c>
      <c r="G90" s="6" t="str">
        <f>"1-913345014"</f>
        <v>1-913345014</v>
      </c>
      <c r="H90" s="6" t="str">
        <f>"KS"</f>
        <v>KS</v>
      </c>
      <c r="I90" s="6" t="str">
        <f>"66211"</f>
        <v>66211</v>
      </c>
      <c r="J90" s="6" t="s">
        <v>408</v>
      </c>
      <c r="K90" s="6" t="s">
        <v>406</v>
      </c>
      <c r="L90" s="8" t="s">
        <v>20</v>
      </c>
      <c r="M90" s="6" t="str">
        <f>"No"</f>
        <v>No</v>
      </c>
      <c r="N90" s="6" t="str">
        <f>"understanding"</f>
        <v>understanding</v>
      </c>
      <c r="O90" s="6" t="s">
        <v>145</v>
      </c>
      <c r="P90" s="6" t="s">
        <v>18</v>
      </c>
      <c r="Q90" s="6" t="s">
        <v>387</v>
      </c>
    </row>
    <row r="91" spans="1:17" s="1" customFormat="1" ht="135">
      <c r="A91" s="6" t="s">
        <v>410</v>
      </c>
      <c r="B91" s="6" t="str">
        <f>"YRCW"</f>
        <v>YRCW</v>
      </c>
      <c r="C91" s="6" t="s">
        <v>122</v>
      </c>
      <c r="D91" s="6" t="s">
        <v>123</v>
      </c>
      <c r="E91" s="6" t="str">
        <f>"Solution Architect"</f>
        <v>Solution Architect</v>
      </c>
      <c r="F91" s="6" t="s">
        <v>124</v>
      </c>
      <c r="G91" s="6" t="str">
        <f>"1-9133445377"</f>
        <v>1-9133445377</v>
      </c>
      <c r="H91" s="6" t="str">
        <f>"KS"</f>
        <v>KS</v>
      </c>
      <c r="I91" s="6" t="str">
        <f>"66211"</f>
        <v>66211</v>
      </c>
      <c r="J91" s="6" t="s">
        <v>408</v>
      </c>
      <c r="K91" s="6" t="s">
        <v>405</v>
      </c>
      <c r="L91" s="8" t="s">
        <v>20</v>
      </c>
      <c r="M91" s="6" t="str">
        <f>"Yes"</f>
        <v>Yes</v>
      </c>
      <c r="N91" s="6" t="str">
        <f>"EDI patterns, and other COTS standard interfaces"</f>
        <v>EDI patterns, and other COTS standard interfaces</v>
      </c>
      <c r="O91" s="6" t="s">
        <v>125</v>
      </c>
      <c r="P91" s="6" t="s">
        <v>17</v>
      </c>
      <c r="Q91" s="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LoBue, Aaron</dc:creator>
  <cp:keywords/>
  <dc:description/>
  <cp:lastModifiedBy>LoBue, Aaron</cp:lastModifiedBy>
  <dcterms:created xsi:type="dcterms:W3CDTF">2015-01-05T16:43:05Z</dcterms:created>
  <dcterms:modified xsi:type="dcterms:W3CDTF">2015-01-05T19:10:15Z</dcterms:modified>
  <cp:category/>
  <cp:version/>
  <cp:contentType/>
  <cp:contentStatus/>
</cp:coreProperties>
</file>